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64" documentId="13_ncr:1_{F479FC9E-2F22-4168-8435-2FF6F6EC6A99}" xr6:coauthVersionLast="45" xr6:coauthVersionMax="47" xr10:uidLastSave="{428BFA09-5C19-4114-97C0-1EEE1FCF6D1D}"/>
  <bookViews>
    <workbookView xWindow="13950" yWindow="450" windowWidth="13545" windowHeight="14805" xr2:uid="{00000000-000D-0000-FFFF-FFFF00000000}"/>
  </bookViews>
  <sheets>
    <sheet name="Price Sound-Tokus" sheetId="1" r:id="rId1"/>
    <sheet name="ИНФОРМАЦИ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" l="1"/>
  <c r="H56" i="1" l="1"/>
  <c r="H55" i="1"/>
  <c r="F56" i="1"/>
  <c r="F106" i="1"/>
  <c r="F133" i="1" l="1"/>
  <c r="F64" i="1" l="1"/>
  <c r="F27" i="1" l="1"/>
  <c r="F60" i="1"/>
  <c r="H161" i="1" l="1"/>
  <c r="H162" i="1"/>
  <c r="G26" i="1" l="1"/>
  <c r="G20" i="1"/>
  <c r="G25" i="1"/>
  <c r="H26" i="1"/>
  <c r="F117" i="1" l="1"/>
  <c r="F211" i="1" l="1"/>
  <c r="F212" i="1"/>
  <c r="F202" i="1"/>
  <c r="F198" i="1"/>
  <c r="F197" i="1"/>
  <c r="F201" i="1"/>
  <c r="F200" i="1"/>
  <c r="F199" i="1"/>
  <c r="F196" i="1"/>
  <c r="H195" i="1"/>
  <c r="F195" i="1"/>
  <c r="F194" i="1"/>
  <c r="F203" i="1" l="1"/>
  <c r="F116" i="1"/>
  <c r="F118" i="1"/>
  <c r="F119" i="1"/>
  <c r="F61" i="1"/>
  <c r="F62" i="1"/>
  <c r="F148" i="1" l="1"/>
  <c r="F36" i="1" l="1"/>
  <c r="F37" i="1"/>
  <c r="F162" i="1" l="1"/>
  <c r="F65" i="1" l="1"/>
  <c r="F70" i="1" l="1"/>
  <c r="F149" i="1" l="1"/>
  <c r="F140" i="1" l="1"/>
  <c r="H172" i="1" l="1"/>
  <c r="G172" i="1"/>
  <c r="H127" i="1"/>
  <c r="G127" i="1"/>
  <c r="F26" i="1" l="1"/>
  <c r="F69" i="1"/>
  <c r="F172" i="1"/>
  <c r="H129" i="1" l="1"/>
  <c r="G129" i="1"/>
  <c r="H109" i="1" l="1"/>
  <c r="F109" i="1"/>
  <c r="F104" i="1"/>
  <c r="F66" i="1" l="1"/>
  <c r="H92" i="1" l="1"/>
  <c r="F92" i="1"/>
  <c r="H99" i="1"/>
  <c r="F99" i="1"/>
  <c r="H160" i="1" l="1"/>
  <c r="H159" i="1"/>
  <c r="H158" i="1"/>
  <c r="F159" i="1"/>
  <c r="F160" i="1" l="1"/>
  <c r="H178" i="1" l="1"/>
  <c r="H177" i="1"/>
  <c r="H14" i="1" l="1"/>
  <c r="H13" i="1"/>
  <c r="G85" i="1" l="1"/>
  <c r="G54" i="1"/>
  <c r="H85" i="1"/>
  <c r="H86" i="1"/>
  <c r="H83" i="1"/>
  <c r="H82" i="1"/>
  <c r="H81" i="1"/>
  <c r="H80" i="1"/>
  <c r="H79" i="1"/>
  <c r="H78" i="1"/>
  <c r="H77" i="1"/>
  <c r="H76" i="1"/>
  <c r="H73" i="1"/>
  <c r="H67" i="1"/>
  <c r="H74" i="1"/>
  <c r="H72" i="1"/>
  <c r="H68" i="1"/>
  <c r="H51" i="1"/>
  <c r="H48" i="1"/>
  <c r="H46" i="1"/>
  <c r="H45" i="1"/>
  <c r="H115" i="1"/>
  <c r="H120" i="1"/>
  <c r="H108" i="1"/>
  <c r="H107" i="1"/>
  <c r="H105" i="1"/>
  <c r="H100" i="1"/>
  <c r="H110" i="1"/>
  <c r="H94" i="1"/>
  <c r="H96" i="1"/>
  <c r="H97" i="1"/>
  <c r="H98" i="1"/>
  <c r="H102" i="1"/>
  <c r="H93" i="1"/>
  <c r="H95" i="1"/>
  <c r="H89" i="1"/>
  <c r="H91" i="1"/>
  <c r="H90" i="1"/>
  <c r="H88" i="1"/>
  <c r="H54" i="1"/>
  <c r="H33" i="1" l="1"/>
  <c r="H34" i="1"/>
  <c r="G34" i="1"/>
  <c r="G86" i="1"/>
  <c r="H141" i="1"/>
  <c r="H132" i="1"/>
  <c r="H126" i="1"/>
  <c r="H125" i="1"/>
  <c r="G14" i="1" l="1"/>
  <c r="G13" i="1"/>
  <c r="G15" i="1"/>
  <c r="G19" i="1"/>
  <c r="G18" i="1"/>
  <c r="G17" i="1"/>
  <c r="H155" i="1"/>
  <c r="H154" i="1"/>
  <c r="H170" i="1"/>
  <c r="H169" i="1"/>
  <c r="H168" i="1"/>
  <c r="H167" i="1"/>
  <c r="H166" i="1"/>
  <c r="H165" i="1"/>
  <c r="H164" i="1"/>
  <c r="H163" i="1"/>
  <c r="H171" i="1"/>
  <c r="G171" i="1"/>
  <c r="H157" i="1"/>
  <c r="H156" i="1"/>
  <c r="H153" i="1"/>
  <c r="H152" i="1"/>
  <c r="H151" i="1"/>
  <c r="H147" i="1"/>
  <c r="H146" i="1"/>
  <c r="G147" i="1"/>
  <c r="G146" i="1"/>
  <c r="G144" i="1"/>
  <c r="H144" i="1"/>
  <c r="H142" i="1"/>
  <c r="G141" i="1"/>
  <c r="G142" i="1"/>
  <c r="H138" i="1"/>
  <c r="G138" i="1"/>
  <c r="H136" i="1"/>
  <c r="H135" i="1"/>
  <c r="G135" i="1"/>
  <c r="G136" i="1"/>
  <c r="G132" i="1"/>
  <c r="H131" i="1"/>
  <c r="G131" i="1"/>
  <c r="G126" i="1" l="1"/>
  <c r="G125" i="1"/>
  <c r="H114" i="1" l="1"/>
  <c r="H59" i="1"/>
  <c r="H58" i="1"/>
  <c r="H52" i="1"/>
  <c r="H43" i="1"/>
  <c r="H35" i="1"/>
  <c r="G35" i="1"/>
  <c r="H25" i="1"/>
  <c r="H24" i="1"/>
  <c r="H23" i="1"/>
  <c r="G23" i="1"/>
  <c r="H22" i="1"/>
  <c r="H20" i="1"/>
  <c r="H19" i="1"/>
  <c r="H18" i="1"/>
  <c r="H17" i="1"/>
  <c r="H15" i="1"/>
  <c r="F156" i="1" l="1"/>
  <c r="F55" i="1" l="1"/>
  <c r="F54" i="1"/>
  <c r="F25" i="1"/>
  <c r="F24" i="1"/>
  <c r="F20" i="1"/>
  <c r="F68" i="1"/>
  <c r="F105" i="1" l="1"/>
  <c r="F22" i="1" l="1"/>
  <c r="F100" i="1"/>
  <c r="F147" i="1" l="1"/>
  <c r="F108" i="1"/>
  <c r="F120" i="1"/>
  <c r="F16" i="1" l="1"/>
  <c r="B224" i="1"/>
  <c r="B222" i="1"/>
  <c r="B223" i="1" s="1"/>
  <c r="F88" i="1"/>
  <c r="F90" i="1"/>
  <c r="F89" i="1"/>
  <c r="F91" i="1"/>
  <c r="F13" i="1"/>
  <c r="F14" i="1"/>
  <c r="F15" i="1"/>
  <c r="F17" i="1"/>
  <c r="F18" i="1"/>
  <c r="F19" i="1"/>
  <c r="F23" i="1"/>
  <c r="F29" i="1"/>
  <c r="F30" i="1"/>
  <c r="F31" i="1"/>
  <c r="F33" i="1"/>
  <c r="F34" i="1"/>
  <c r="F35" i="1"/>
  <c r="F39" i="1"/>
  <c r="F41" i="1"/>
  <c r="F43" i="1"/>
  <c r="F45" i="1"/>
  <c r="F46" i="1"/>
  <c r="F48" i="1"/>
  <c r="F50" i="1"/>
  <c r="F51" i="1"/>
  <c r="F52" i="1"/>
  <c r="F58" i="1"/>
  <c r="F59" i="1"/>
  <c r="F67" i="1"/>
  <c r="F72" i="1"/>
  <c r="F73" i="1"/>
  <c r="F74" i="1"/>
  <c r="F76" i="1"/>
  <c r="F77" i="1"/>
  <c r="F78" i="1"/>
  <c r="F79" i="1"/>
  <c r="F80" i="1"/>
  <c r="F81" i="1"/>
  <c r="F82" i="1"/>
  <c r="F83" i="1"/>
  <c r="F85" i="1"/>
  <c r="F86" i="1"/>
  <c r="F93" i="1"/>
  <c r="F94" i="1"/>
  <c r="F95" i="1"/>
  <c r="F96" i="1"/>
  <c r="F97" i="1"/>
  <c r="F98" i="1"/>
  <c r="F101" i="1"/>
  <c r="F102" i="1"/>
  <c r="F103" i="1"/>
  <c r="F107" i="1"/>
  <c r="F110" i="1"/>
  <c r="F111" i="1"/>
  <c r="F112" i="1"/>
  <c r="F113" i="1"/>
  <c r="F114" i="1"/>
  <c r="F115" i="1"/>
  <c r="F126" i="1"/>
  <c r="F127" i="1"/>
  <c r="F125" i="1"/>
  <c r="F129" i="1"/>
  <c r="F131" i="1"/>
  <c r="F132" i="1"/>
  <c r="F135" i="1"/>
  <c r="F136" i="1"/>
  <c r="F138" i="1"/>
  <c r="F142" i="1"/>
  <c r="F141" i="1"/>
  <c r="F144" i="1"/>
  <c r="F146" i="1"/>
  <c r="F151" i="1"/>
  <c r="F152" i="1"/>
  <c r="F153" i="1"/>
  <c r="F154" i="1"/>
  <c r="F155" i="1"/>
  <c r="F157" i="1"/>
  <c r="F158" i="1"/>
  <c r="F161" i="1"/>
  <c r="F163" i="1"/>
  <c r="F164" i="1"/>
  <c r="F165" i="1"/>
  <c r="F166" i="1"/>
  <c r="F167" i="1"/>
  <c r="F168" i="1"/>
  <c r="F169" i="1"/>
  <c r="F170" i="1"/>
  <c r="F171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209" i="1"/>
  <c r="F210" i="1"/>
  <c r="F213" i="1"/>
  <c r="F214" i="1"/>
  <c r="F215" i="1"/>
  <c r="F216" i="1"/>
  <c r="F217" i="1" l="1"/>
  <c r="F173" i="1"/>
  <c r="F190" i="1"/>
  <c r="F121" i="1"/>
  <c r="F205" i="1" l="1"/>
  <c r="F206" i="1" s="1"/>
  <c r="F219" i="1" s="1"/>
  <c r="F220" i="1" s="1"/>
</calcChain>
</file>

<file path=xl/sharedStrings.xml><?xml version="1.0" encoding="utf-8"?>
<sst xmlns="http://schemas.openxmlformats.org/spreadsheetml/2006/main" count="412" uniqueCount="364">
  <si>
    <t>Наименование</t>
  </si>
  <si>
    <t>Модель</t>
  </si>
  <si>
    <t>Цена за 1 шт, руб.</t>
  </si>
  <si>
    <t>Кол-во, шт.</t>
  </si>
  <si>
    <t>Сценический монитор</t>
  </si>
  <si>
    <t>Сценический монитор мощностью 550 Wt</t>
  </si>
  <si>
    <t>Turbosound TMW-115, усилитель - 1шт.</t>
  </si>
  <si>
    <t>Микшерные аналоговые пульты</t>
  </si>
  <si>
    <t>Микшерный пульт 4 моно входа и 1 стерео вход или 2 моно входа и 3 стерео входа</t>
  </si>
  <si>
    <t>Yamaha MG82CX</t>
  </si>
  <si>
    <t>Микшерный пульт 12 моно входов и 2 стерео входа</t>
  </si>
  <si>
    <t>Микшерный пульт 8 моно входов и 4 стерео входа или 10 моно входов и 2 стерео входа</t>
  </si>
  <si>
    <t xml:space="preserve">Yamaha MG166CX </t>
  </si>
  <si>
    <t>Микшерные цифровые пульты</t>
  </si>
  <si>
    <t>Микшерный цифровой пульт 16 моно входов</t>
  </si>
  <si>
    <t xml:space="preserve">Mackie DL1608 </t>
  </si>
  <si>
    <t xml:space="preserve">Микшерный цифровой пульт 4 моно входа, 2 стерео входа и 4 выхода на пульте плюс 24 моно входа и 12 выходов на модуле расширения </t>
  </si>
  <si>
    <t>Allen&amp;Heath GLD-112 &amp; AR2412</t>
  </si>
  <si>
    <t>Эквалайзеры</t>
  </si>
  <si>
    <t>Эквалайзер 2-х канальный 30-полосный</t>
  </si>
  <si>
    <t>KlarkTeknik DN 360</t>
  </si>
  <si>
    <t>Пространственная обработка</t>
  </si>
  <si>
    <t>Сдвоенный процессор эффектов</t>
  </si>
  <si>
    <t>T.C. Electronic M-One XL</t>
  </si>
  <si>
    <t>Директ-бокс(Di-box)</t>
  </si>
  <si>
    <t>Активный директ-бокс</t>
  </si>
  <si>
    <t xml:space="preserve">BSS AR-133 </t>
  </si>
  <si>
    <t>Гитарные комбоусилители</t>
  </si>
  <si>
    <t>Гитарный комбо ламповый 40Вт</t>
  </si>
  <si>
    <t>Fender Hot Rod Deluxe III (1х12)</t>
  </si>
  <si>
    <t>Гитарный комбо ламповый 60Вт</t>
  </si>
  <si>
    <t>Fender Hot Rod Deville III 212 (2х12)</t>
  </si>
  <si>
    <t>Басовые комбоусилители</t>
  </si>
  <si>
    <t>Басовый комбо 800 Вт</t>
  </si>
  <si>
    <t>Markbass STD104HF, Little Mark Tube 800</t>
  </si>
  <si>
    <t>Ударная установка</t>
  </si>
  <si>
    <t>Радиомикрофонные системы</t>
  </si>
  <si>
    <t>Радиомикрофонная система вокальная</t>
  </si>
  <si>
    <t>Вокальные микрофоны</t>
  </si>
  <si>
    <t xml:space="preserve">Динамический кардиоидный микрофон </t>
  </si>
  <si>
    <t>Shure SM58-LCE</t>
  </si>
  <si>
    <t>Динамический суперкардиоидный микрофон</t>
  </si>
  <si>
    <t>Shure BETA 58A</t>
  </si>
  <si>
    <t>Инструментальные микрофоны</t>
  </si>
  <si>
    <t>Универсальный динамический кардиоидный микрофон</t>
  </si>
  <si>
    <t>Shure SM57</t>
  </si>
  <si>
    <t>Универсальный суперкардиоидный инструментальный микрофон</t>
  </si>
  <si>
    <t>Sennheiser E 906</t>
  </si>
  <si>
    <t>Универсальный конденсаторный кардиоидный вокально-инструментальный микрофон</t>
  </si>
  <si>
    <t>Shure SM81</t>
  </si>
  <si>
    <t>Динамический суперкардиоидный микрофон для бас-барабана</t>
  </si>
  <si>
    <t>Shure BETA 52A</t>
  </si>
  <si>
    <t>Конденсаторный полукардиоидный (плоский) микрофон</t>
  </si>
  <si>
    <t>Shure BETA 91A</t>
  </si>
  <si>
    <t>Динамический кардиоидный микрофон с креплением на обруч барабана</t>
  </si>
  <si>
    <t>Sennheiser E 604</t>
  </si>
  <si>
    <t>Источники информации</t>
  </si>
  <si>
    <t>Комплект диджейского оборудования Pioneer  (CD диски, MP3 диски, USB Flash Card)</t>
  </si>
  <si>
    <t>Стойки и коммутация</t>
  </si>
  <si>
    <t>Микрофонная стойка " Журавль", тренога</t>
  </si>
  <si>
    <t>Proel</t>
  </si>
  <si>
    <t>Микрофонная стойка " Журавль", тренога, 1/2 высоты</t>
  </si>
  <si>
    <t>Микрофонная стойка прямая, круглое основание</t>
  </si>
  <si>
    <t>Cтойка под акустическую или электрогитару с держателем грифа</t>
  </si>
  <si>
    <t>Коммутация</t>
  </si>
  <si>
    <t>Сигнальная акустическая</t>
  </si>
  <si>
    <t>Сигнальная микрофонная</t>
  </si>
  <si>
    <t>Сетевая</t>
  </si>
  <si>
    <t>Showgear CB102</t>
  </si>
  <si>
    <t>%</t>
  </si>
  <si>
    <t>ЗВУКОВОЕ ОБОРУДОВАНИЕ</t>
  </si>
  <si>
    <t>ИТОГО ЗВУКОВОЕ ОБОРУДОВАНИЕ</t>
  </si>
  <si>
    <t>СВЕТОВОЕ ОБОРУДОВАНИЕ</t>
  </si>
  <si>
    <t>Интеллектуальные приборы</t>
  </si>
  <si>
    <t>Сканер</t>
  </si>
  <si>
    <t>Прожектор следящего света</t>
  </si>
  <si>
    <t>JEM Magnum Pro 2000</t>
  </si>
  <si>
    <t>Машина спецэффектов</t>
  </si>
  <si>
    <t>Стробоскоп</t>
  </si>
  <si>
    <t>Стробоскоп светодиодный</t>
  </si>
  <si>
    <t>Acme Strobe 1500 DMX</t>
  </si>
  <si>
    <t>Involight LED STROB400</t>
  </si>
  <si>
    <t>Статичный свет</t>
  </si>
  <si>
    <t>LED приборы</t>
  </si>
  <si>
    <t>Прожектор</t>
  </si>
  <si>
    <t>PAR 56</t>
  </si>
  <si>
    <t>Involight LED BAR395</t>
  </si>
  <si>
    <t xml:space="preserve">Всепогодный линейный RGB светильник </t>
  </si>
  <si>
    <t>RGBW светильник в коротком корпусе PAR 64</t>
  </si>
  <si>
    <t>Involight LED PAR184</t>
  </si>
  <si>
    <t>Световые эффекты</t>
  </si>
  <si>
    <t>Imlight Stardance 2</t>
  </si>
  <si>
    <t>Эффект сканирования "лунного цветка"</t>
  </si>
  <si>
    <t>Контроллер управления световыми приборами</t>
  </si>
  <si>
    <t>Световая компьютерная программа</t>
  </si>
  <si>
    <t>Штативы, подъёмники и коммутация</t>
  </si>
  <si>
    <t>Стойка телескопическая</t>
  </si>
  <si>
    <t>Proel PL30</t>
  </si>
  <si>
    <t>Proel KP120</t>
  </si>
  <si>
    <t>Т-образная перекладина</t>
  </si>
  <si>
    <t>Телескопический элеватор с лебёдкой</t>
  </si>
  <si>
    <t>Work LW-142R</t>
  </si>
  <si>
    <t>ИТОГО СВЕТОВОЕ ОБОРУДОВАНИЕ</t>
  </si>
  <si>
    <t>СЦЕНИЧЕСКОЕ ОБОРУДОВАНИЕ</t>
  </si>
  <si>
    <t>Ноги</t>
  </si>
  <si>
    <t>Подиум</t>
  </si>
  <si>
    <t>1 метр</t>
  </si>
  <si>
    <t>Ступеньки</t>
  </si>
  <si>
    <t>Покрытие</t>
  </si>
  <si>
    <t>Ковролин</t>
  </si>
  <si>
    <t>Подиумы</t>
  </si>
  <si>
    <t>Скотч</t>
  </si>
  <si>
    <t>Двухсторонний</t>
  </si>
  <si>
    <t>Степлер</t>
  </si>
  <si>
    <t>Раус</t>
  </si>
  <si>
    <t>Чёрный</t>
  </si>
  <si>
    <t>ИТОГО СЦЕНИЧЕСКОЕ ОБОРУДОВАНИЕ</t>
  </si>
  <si>
    <t>ИТОГО ВСЁ ОБОРУДОВАНИЕ</t>
  </si>
  <si>
    <t>СКИДКА НА ОБОРУДОВАНИЕ</t>
  </si>
  <si>
    <t>Техническое Обеспечение Шоу-Программ.</t>
  </si>
  <si>
    <t>Комплект тарелок</t>
  </si>
  <si>
    <t>Пюпитр</t>
  </si>
  <si>
    <t>Pioneer DJM-800 и Pioneer CDJ-900 - 2шт.</t>
  </si>
  <si>
    <t>ПЕРСОНАЛ &amp; ТРАНСПОРТ</t>
  </si>
  <si>
    <t>Звукорежиссёр</t>
  </si>
  <si>
    <t>Художник по свету</t>
  </si>
  <si>
    <t>Техник</t>
  </si>
  <si>
    <t>ИТОГО ПЕРСОНАЛ &amp; ТРАНСПОРТ</t>
  </si>
  <si>
    <t>Прожектор следящего света(пушка)</t>
  </si>
  <si>
    <t>Сплиттер 1-4</t>
  </si>
  <si>
    <t>Involight LCD12</t>
  </si>
  <si>
    <t>Силовая 3-x фазная раздача 32А</t>
  </si>
  <si>
    <t>Генератор лёгкого дыма</t>
  </si>
  <si>
    <t>Генератор тумана HAZER</t>
  </si>
  <si>
    <t>JEM Technohaze</t>
  </si>
  <si>
    <t>Quik Lok MS307</t>
  </si>
  <si>
    <t>Микшерный цифровой пульт 72 моно/8 стерео входов</t>
  </si>
  <si>
    <t>Дата мероприятия:</t>
  </si>
  <si>
    <t>Место мероприятия:</t>
  </si>
  <si>
    <t>Монтаж:</t>
  </si>
  <si>
    <t>Репетиция:</t>
  </si>
  <si>
    <t>Демонтаж:</t>
  </si>
  <si>
    <t>Заказчик:</t>
  </si>
  <si>
    <t>Контактный телефон:</t>
  </si>
  <si>
    <t>ИНФОРМАЦИЯ.</t>
  </si>
  <si>
    <t>Звуковой комплект №2 мощностью 3.2 kWt</t>
  </si>
  <si>
    <t>Звуковой комплект №3 мощностью 6.4 kWt</t>
  </si>
  <si>
    <t>Звуковой комплект №4 мощностью 5.6 kWt</t>
  </si>
  <si>
    <t>Звуковой комплект №5 мощностью 5.1 kWt</t>
  </si>
  <si>
    <t>Звуковые комплекты</t>
  </si>
  <si>
    <t>Robe Scan 575 XT</t>
  </si>
  <si>
    <t>Диджей на мероприятие.</t>
  </si>
  <si>
    <t>+7 (495) 961-39-31</t>
  </si>
  <si>
    <t>Shure BETA 57A</t>
  </si>
  <si>
    <t>HP</t>
  </si>
  <si>
    <t>Универсальный динамический суперкардиоидный микрофон</t>
  </si>
  <si>
    <t>Soundking DF036</t>
  </si>
  <si>
    <t>Стойка под клавиши, 2-х ярусная усиленная</t>
  </si>
  <si>
    <t>Quik Lok QL642</t>
  </si>
  <si>
    <t>Proel SPL252</t>
  </si>
  <si>
    <t>On-Stage MS7201B</t>
  </si>
  <si>
    <t>Proel RSM180</t>
  </si>
  <si>
    <t>Proel RSM181</t>
  </si>
  <si>
    <t>Proel SPSK300BK</t>
  </si>
  <si>
    <t>Стойка тренога под колонку</t>
  </si>
  <si>
    <t>Proel EL700, Proel EL650</t>
  </si>
  <si>
    <t>Защита коммутации, капа 2-х канальная</t>
  </si>
  <si>
    <t>Proel PLKP182FL</t>
  </si>
  <si>
    <t>Пюпитр оркестровый</t>
  </si>
  <si>
    <t xml:space="preserve">Quik Lok MS331 </t>
  </si>
  <si>
    <t xml:space="preserve">Quik Lok BX14 </t>
  </si>
  <si>
    <t>Стульчик пианиста(Банкетка для клавишника)</t>
  </si>
  <si>
    <t>Звуковой комплект №1.1 мощностью 1.25 kWt</t>
  </si>
  <si>
    <t>Звуковой комплект №1.2 мощностью 0.6 kWt</t>
  </si>
  <si>
    <t>2-х полосная АС JBL SRX715 - 2шт, сабвуфер JBL SRX718S - 2шт, усилитель - 2шт, кроссовер - 1шт.</t>
  </si>
  <si>
    <t>2-х полосная АС JBL SRX715 - 4шт, сабвуфер JBL SRX718S - 4шт, усилитель - 2шт, кроссовер - 1шт.</t>
  </si>
  <si>
    <t>2-х полосная АС JBL SRX725 - 2шт, сабвуфер JBL SRX718S - 4шт, усилитель - 2шт, кроссовер - 1шт.</t>
  </si>
  <si>
    <t>3-х полосная АС Martin Audio H3+ - 2шт, сабвуфер Martin Audio S218+ - 2шт, усилитель - 3шт, контроллер - 1шт.</t>
  </si>
  <si>
    <t>Zildjian A HiHat14'', Splash 8'', Crash 16'' &amp; 18'', Ride 21''</t>
  </si>
  <si>
    <t>Экран для ударной установки(Drum Shield)</t>
  </si>
  <si>
    <t>K&amp;M 21020-300-55</t>
  </si>
  <si>
    <t>Силовая 3-x фазная раздача 63А</t>
  </si>
  <si>
    <t>Силовая 3-х фазная подача 32А</t>
  </si>
  <si>
    <t>КГ 5х6: 10м, 10м, 15м, 15м</t>
  </si>
  <si>
    <t>КГ 5х4: 15м, 30м</t>
  </si>
  <si>
    <t>КГ 5х16: 9м</t>
  </si>
  <si>
    <t>Силовая 3-х фазная подача 63А</t>
  </si>
  <si>
    <t>КГ 5х4: ввод 2.5м</t>
  </si>
  <si>
    <t>Переходник 3-х фазный 16А на 3-х фазный 32А</t>
  </si>
  <si>
    <t>Разветвитель 3-х фазный 32А штекер на 3 3-х фазных 32А розетки</t>
  </si>
  <si>
    <t>Стойка для гитарных и басовых комбо</t>
  </si>
  <si>
    <t>Цена за     Кол-во шт, руб.</t>
  </si>
  <si>
    <t>e-mail: info@sound-tokus.ru</t>
  </si>
  <si>
    <t>Прокат и долгосрочная аренда профессионального Звукового,</t>
  </si>
  <si>
    <t>Светового, Сценического и Проекционного оборудования.</t>
  </si>
  <si>
    <t>Цена за         Кол-во шт, руб.</t>
  </si>
  <si>
    <t>Peace (5 сексий по 200х60х0.8 см каждая)</t>
  </si>
  <si>
    <t xml:space="preserve">Soundcraft MPMi 12/2 </t>
  </si>
  <si>
    <t>Металлическая пластина</t>
  </si>
  <si>
    <t xml:space="preserve">Металлический адаптер для стойки </t>
  </si>
  <si>
    <t>Метизы</t>
  </si>
  <si>
    <t>Винт+гайка</t>
  </si>
  <si>
    <t>Начало:</t>
  </si>
  <si>
    <t>Кол-во смен</t>
  </si>
  <si>
    <t>Proel FC720</t>
  </si>
  <si>
    <t xml:space="preserve">Держатель микрофона на ударную установку </t>
  </si>
  <si>
    <t>K&amp;M 24030-300-55</t>
  </si>
  <si>
    <t>2м х 1м</t>
  </si>
  <si>
    <t>1м х 1м</t>
  </si>
  <si>
    <t>0.2 метра</t>
  </si>
  <si>
    <t>0.4 метра</t>
  </si>
  <si>
    <t>0.8 метра</t>
  </si>
  <si>
    <t>Фанерка</t>
  </si>
  <si>
    <t>75х45 см</t>
  </si>
  <si>
    <t>Стол</t>
  </si>
  <si>
    <t>Stels 90x60x75 см</t>
  </si>
  <si>
    <t>Shure SM58-S</t>
  </si>
  <si>
    <t>Динамический кардиоидный микрофон с выключателем</t>
  </si>
  <si>
    <t>Involight ISX29</t>
  </si>
  <si>
    <t>Тотем с чехлом 2 метра</t>
  </si>
  <si>
    <t>0.5м х 1м</t>
  </si>
  <si>
    <t>Хомут для ступенек</t>
  </si>
  <si>
    <t>Стяжка для подиума</t>
  </si>
  <si>
    <t>Yamaha CL5 &amp; RIO3224-D</t>
  </si>
  <si>
    <t>JBL EON515XT</t>
  </si>
  <si>
    <t>Активный сабвуфер MS-MAX MS-112A</t>
  </si>
  <si>
    <t>ИТОГО ВСЕГО наличными</t>
  </si>
  <si>
    <t>Общая мощность потребления (кВт):</t>
  </si>
  <si>
    <t>Общий потребляемый ток (А):</t>
  </si>
  <si>
    <t>Общий вес (т):</t>
  </si>
  <si>
    <t>JBL SS4-BK</t>
  </si>
  <si>
    <t>Стойка соединительная сабвуфер/сателлит</t>
  </si>
  <si>
    <t>Yamaha OAK Custom (BD22'', T10", T12'', FT16", SN14x5.5, 8 стоек под железо журавль, стойка под HH, стойка под рабочий, стул, педаль, ковер)</t>
  </si>
  <si>
    <t>Tempo SPS050BK</t>
  </si>
  <si>
    <t>Equation D30</t>
  </si>
  <si>
    <t>Sunlite SL512BC + Ноутбук</t>
  </si>
  <si>
    <t>ИТОГО ВСЕГО по безналу</t>
  </si>
  <si>
    <t>+</t>
  </si>
  <si>
    <t>Столик для перкуссии</t>
  </si>
  <si>
    <t>Fleet WB-2216</t>
  </si>
  <si>
    <t>Martin Audio LE1200S, усилитель - 1шт.</t>
  </si>
  <si>
    <t>Сценический монитор мощностью 400 Wt</t>
  </si>
  <si>
    <t>Система персонального мониторинга</t>
  </si>
  <si>
    <t>Адаптер под АС</t>
  </si>
  <si>
    <t>Martin Audio LE1200S</t>
  </si>
  <si>
    <t>Элемент линейного массива L-Acoustics KARA - 6шт, сабвуфер L-Acoustics SB18 - 6шт, рама - 2шт, усилитель мощности L-Acoustics LA8 - 2шт.</t>
  </si>
  <si>
    <t>Сценический монитор мощностью 575 Wt</t>
  </si>
  <si>
    <t>L-Acoustics 115XT HiQ</t>
  </si>
  <si>
    <t>L-Acoustics LA8</t>
  </si>
  <si>
    <t>Четырёхканальных усилителей мощности</t>
  </si>
  <si>
    <t>Звуковой комплект №6 мощностью 7.4 kWt</t>
  </si>
  <si>
    <t>Радиомикрофонная система с оголовьем</t>
  </si>
  <si>
    <t>Robe Robin Pointe (replica)</t>
  </si>
  <si>
    <t>Синтезатор 88 клавиш</t>
  </si>
  <si>
    <t>Roland RD-700SX</t>
  </si>
  <si>
    <t>Музыкальные инструменты</t>
  </si>
  <si>
    <t>Телескопическая стойка с лебёдкой</t>
  </si>
  <si>
    <t>JB Systems LS-400</t>
  </si>
  <si>
    <t>М, Вт</t>
  </si>
  <si>
    <t>В, кг</t>
  </si>
  <si>
    <t>Угол</t>
  </si>
  <si>
    <t>Involight ISX29-100</t>
  </si>
  <si>
    <t>Involight ISX29-200</t>
  </si>
  <si>
    <t>Ферма квадратная, прямая 1 метр</t>
  </si>
  <si>
    <t>Ферма квадратная, прямая 2 метра</t>
  </si>
  <si>
    <t>PCE CEE 32A - 3x CEE 32A</t>
  </si>
  <si>
    <t>ABB CEE 16A - CEE 32A, КГ 5х4</t>
  </si>
  <si>
    <t>CEE 32A - 6x Schuko 16A</t>
  </si>
  <si>
    <t>Hercules GS415B Plus</t>
  </si>
  <si>
    <t>Cтойка для гитары с автозахватом</t>
  </si>
  <si>
    <t>K&amp;M 26010-300-55</t>
  </si>
  <si>
    <t>Involight ISX29, чехол - чёрный/белый</t>
  </si>
  <si>
    <t>Shure A58WS-BLK</t>
  </si>
  <si>
    <t>Ветрозащита чёрная</t>
  </si>
  <si>
    <t>Подсветка для пюпитра проводная</t>
  </si>
  <si>
    <t>светодиодная, на батарейках AAA</t>
  </si>
  <si>
    <t>Техник дежурный</t>
  </si>
  <si>
    <t>Такелажные работы</t>
  </si>
  <si>
    <t>от</t>
  </si>
  <si>
    <t>Транспортные расходы</t>
  </si>
  <si>
    <t>Вентилятор промышленный 3-х скоростной</t>
  </si>
  <si>
    <t>Барный регулируемый стул</t>
  </si>
  <si>
    <t>Подсветка для пюпитра беспроводная</t>
  </si>
  <si>
    <t>Quik Lok BarStool</t>
  </si>
  <si>
    <t>Anzhee Pro Follow Spot 350 Zoom + штатив</t>
  </si>
  <si>
    <t>https://www.sound-tokus.ru</t>
  </si>
  <si>
    <t>Название/Модель</t>
  </si>
  <si>
    <t>Сплиттер 1-8</t>
  </si>
  <si>
    <t>Involight DMXS8</t>
  </si>
  <si>
    <t>Вращающаяся голова beam</t>
  </si>
  <si>
    <t>Вращающаяся голова светодиодная wash</t>
  </si>
  <si>
    <t>Радиомикрофонная система с петличным микрофоном</t>
  </si>
  <si>
    <t>LED Wash Zoom 19x15W</t>
  </si>
  <si>
    <t>LED PAR18х12</t>
  </si>
  <si>
    <t>RGBW светильник в тонком корпусе</t>
  </si>
  <si>
    <t>Leicozic UA844+/LC 470 - 960 MHz</t>
  </si>
  <si>
    <t>Активный антенный сплиттер с 2 направленными антеннами</t>
  </si>
  <si>
    <t>Миди контроллер для управления светом</t>
  </si>
  <si>
    <t>Akai APC Mini</t>
  </si>
  <si>
    <t>Караоке держатель</t>
  </si>
  <si>
    <t>цветной</t>
  </si>
  <si>
    <t>Моно тотем 4 метра</t>
  </si>
  <si>
    <t>DBP</t>
  </si>
  <si>
    <t>CEE 63A - 3x CEE 32A</t>
  </si>
  <si>
    <t>Витая пара C6A-S/F-26/7FRPVC</t>
  </si>
  <si>
    <t xml:space="preserve">Teldor 6A, S/FTP оранжевый: 32.9м, 59м </t>
  </si>
  <si>
    <t>Teldor 6A, S/FTP оранжевый: 10м, 10м, 18м</t>
  </si>
  <si>
    <t>мероприятие (смена 7 часов) от</t>
  </si>
  <si>
    <t>монтаж/демонтаж от</t>
  </si>
  <si>
    <t>Sunlite Suite2-BC (512 каналов) + Ноутбук</t>
  </si>
  <si>
    <t>Sunlite Suite2-FC (1536 каналов) + Ноутбук</t>
  </si>
  <si>
    <t>Радиомикрофонная система вокальная цифровая</t>
  </si>
  <si>
    <t>Батарейка</t>
  </si>
  <si>
    <t>АА</t>
  </si>
  <si>
    <t>9V</t>
  </si>
  <si>
    <t>Ширма чёрная</t>
  </si>
  <si>
    <t>5 секций по 50х110см каждая</t>
  </si>
  <si>
    <t>Ноутбук</t>
  </si>
  <si>
    <t>ВИДЕО ОБОРУДОВАНИЕ</t>
  </si>
  <si>
    <t>Оборудование</t>
  </si>
  <si>
    <t>Видео пульт</t>
  </si>
  <si>
    <t>Roland VR-50HD</t>
  </si>
  <si>
    <t>HDMI кабель</t>
  </si>
  <si>
    <t>2м</t>
  </si>
  <si>
    <t>HDMI кабель оптический</t>
  </si>
  <si>
    <t>50м</t>
  </si>
  <si>
    <t>Презентер</t>
  </si>
  <si>
    <t>Logitech R700</t>
  </si>
  <si>
    <t>Кабель</t>
  </si>
  <si>
    <t>USB удлинитель для презентора</t>
  </si>
  <si>
    <t>ИТОГО ВИДЕО ОБОРУДОВАНИЕ</t>
  </si>
  <si>
    <t>15м</t>
  </si>
  <si>
    <t>5м</t>
  </si>
  <si>
    <t>AAA</t>
  </si>
  <si>
    <t>Видеоинженер</t>
  </si>
  <si>
    <t>Диджей</t>
  </si>
  <si>
    <t>Hercules</t>
  </si>
  <si>
    <t>K&amp;M 19747-000-55</t>
  </si>
  <si>
    <t>Держатель для смартфона шириной 44-84 мм</t>
  </si>
  <si>
    <t>Shure SLX24E/58 L4E (638 - 662 MHz)</t>
  </si>
  <si>
    <t>Shure SLX24E/BETA58 L4E (638 - 662 MHz)</t>
  </si>
  <si>
    <t>Shure SLXD24E/BETA58 H56 (518 - 562 MHz)</t>
  </si>
  <si>
    <t>Sennheiser EW 352-G3-A-X (516 - 558 MHz)</t>
  </si>
  <si>
    <t>Sennheiser EW 100 G4-ME2-A (516 - 558 MHz)</t>
  </si>
  <si>
    <t>Shure QLXD24/Beta58 H51 (534 - 598 MHz)</t>
  </si>
  <si>
    <t>Sennheiser ew IEM G4 G-Band (566 - 608 MHz)</t>
  </si>
  <si>
    <t>Shure SLXD24E/58 H56 (518 - 562 MHz)</t>
  </si>
  <si>
    <t>DPA DAD6010</t>
  </si>
  <si>
    <t>Переходник с MicroDot на Shure(TA4F)</t>
  </si>
  <si>
    <t>MSI</t>
  </si>
  <si>
    <t>Жидкость для генератора тумана</t>
  </si>
  <si>
    <t>1 литр</t>
  </si>
  <si>
    <t>K&amp;M 14300-000-55</t>
  </si>
  <si>
    <t>Напольная стойка для саксофона тенор/альт</t>
  </si>
  <si>
    <t>погрузка/разгрузка от</t>
  </si>
  <si>
    <t>привоз/забор от</t>
  </si>
  <si>
    <t>Clavia Nord Stage 3 HA 88</t>
  </si>
  <si>
    <t>Yamaha Motif XF8</t>
  </si>
  <si>
    <t>Радиомикрофонная система инструментальная цифровая с микрофоном на прищепке для саксофона</t>
  </si>
  <si>
    <t>Радиомикрофонная система инструментальная цифровая</t>
  </si>
  <si>
    <t>Shure SLXD14E H56 (518 - 562 MHz)</t>
  </si>
  <si>
    <t>Shure SLXD14E H56 &amp; WB98H/C (518 - 562 MHz)</t>
  </si>
  <si>
    <t>Антенный комбайнер с пассивной направленной антенной</t>
  </si>
  <si>
    <t>Sennheiser AC41 + Sennheiser ADP UHF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</si>
</sst>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Arial Cyr"/>
      <charset val="204"/>
    </font>
    <font>
      <sz val="18"/>
      <color indexed="8"/>
      <name val="Arial Cyr"/>
      <charset val="204"/>
    </font>
    <font>
      <b/>
      <sz val="10"/>
      <color indexed="8"/>
      <name val="Arial Cyr"/>
      <charset val="204"/>
    </font>
    <font>
      <sz val="8"/>
      <color indexed="8"/>
      <name val="Arial Cyr"/>
      <charset val="204"/>
    </font>
    <font>
      <u/>
      <sz val="9"/>
      <color indexed="12"/>
      <name val="Arial Cyr"/>
      <charset val="204"/>
    </font>
    <font>
      <sz val="9"/>
      <color indexed="8"/>
      <name val="Arial Cyr"/>
      <charset val="204"/>
    </font>
    <font>
      <sz val="14"/>
      <color rgb="FF00B050"/>
      <name val="Arial Cyr"/>
      <charset val="204"/>
    </font>
    <font>
      <b/>
      <i/>
      <sz val="48"/>
      <color rgb="FFFF0000"/>
      <name val="Chiller"/>
      <family val="5"/>
    </font>
    <font>
      <sz val="9"/>
      <color theme="1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1"/>
      <color theme="1"/>
      <name val="Arial Cyr"/>
      <charset val="204"/>
    </font>
    <font>
      <i/>
      <sz val="16"/>
      <color indexed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indexed="8"/>
      <name val="Arial Cyr"/>
      <charset val="204"/>
    </font>
    <font>
      <sz val="8"/>
      <color theme="1"/>
      <name val="Arial Cyr"/>
      <charset val="204"/>
    </font>
    <font>
      <b/>
      <sz val="14"/>
      <color indexed="10"/>
      <name val="Arial Cyr"/>
      <charset val="204"/>
    </font>
    <font>
      <sz val="8"/>
      <color rgb="FF000000"/>
      <name val="Arial Cyr"/>
      <charset val="204"/>
    </font>
    <font>
      <sz val="8"/>
      <name val="Arial Cyr"/>
      <charset val="204"/>
    </font>
    <font>
      <b/>
      <sz val="8"/>
      <color indexed="8"/>
      <name val="Arial Cyr"/>
      <charset val="204"/>
    </font>
    <font>
      <b/>
      <sz val="10"/>
      <color rgb="FFFF0000"/>
      <name val="Arial Cyr"/>
      <charset val="204"/>
    </font>
    <font>
      <b/>
      <sz val="10"/>
      <color indexed="10"/>
      <name val="Arial Cyr"/>
      <charset val="204"/>
    </font>
    <font>
      <sz val="11"/>
      <color rgb="FFFF0000"/>
      <name val="Arial Cyr"/>
      <charset val="204"/>
    </font>
    <font>
      <b/>
      <sz val="11"/>
      <color rgb="FFFF0000"/>
      <name val="Arial Cyr"/>
      <charset val="204"/>
    </font>
    <font>
      <sz val="11"/>
      <color indexed="10"/>
      <name val="Arial Cyr"/>
      <charset val="204"/>
    </font>
    <font>
      <b/>
      <sz val="11"/>
      <color indexed="10"/>
      <name val="Arial Cyr"/>
      <charset val="204"/>
    </font>
    <font>
      <u/>
      <sz val="15"/>
      <color indexed="8"/>
      <name val="Arial Cyr"/>
      <charset val="204"/>
    </font>
    <font>
      <b/>
      <i/>
      <sz val="14"/>
      <color indexed="8"/>
      <name val="Arial Cyr"/>
      <charset val="204"/>
    </font>
    <font>
      <i/>
      <sz val="10"/>
      <color indexed="8"/>
      <name val="Arial Cyr"/>
      <charset val="204"/>
    </font>
    <font>
      <b/>
      <i/>
      <sz val="11"/>
      <color indexed="8"/>
      <name val="Arial Cyr"/>
      <charset val="204"/>
    </font>
    <font>
      <b/>
      <sz val="14"/>
      <color rgb="FFFF0000"/>
      <name val="Arial Cyr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25" xfId="0" applyFont="1" applyBorder="1"/>
    <xf numFmtId="0" fontId="0" fillId="0" borderId="26" xfId="0" applyBorder="1"/>
    <xf numFmtId="0" fontId="0" fillId="0" borderId="27" xfId="0" applyBorder="1"/>
    <xf numFmtId="0" fontId="12" fillId="2" borderId="1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5" borderId="0" xfId="0" applyFont="1" applyFill="1"/>
    <xf numFmtId="0" fontId="10" fillId="5" borderId="0" xfId="0" applyFont="1" applyFill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37" xfId="0" applyBorder="1"/>
    <xf numFmtId="0" fontId="0" fillId="0" borderId="11" xfId="0" applyBorder="1"/>
    <xf numFmtId="0" fontId="0" fillId="0" borderId="35" xfId="0" applyBorder="1"/>
    <xf numFmtId="0" fontId="0" fillId="0" borderId="0" xfId="0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0" fontId="16" fillId="0" borderId="0" xfId="1" applyFont="1" applyAlignment="1" applyProtection="1">
      <alignment horizontal="left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14" fontId="21" fillId="0" borderId="20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17" fillId="0" borderId="30" xfId="0" applyFont="1" applyBorder="1"/>
    <xf numFmtId="0" fontId="17" fillId="0" borderId="3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12" xfId="0" applyFont="1" applyBorder="1"/>
    <xf numFmtId="0" fontId="22" fillId="4" borderId="21" xfId="0" applyFont="1" applyFill="1" applyBorder="1"/>
    <xf numFmtId="0" fontId="22" fillId="4" borderId="26" xfId="0" applyFont="1" applyFill="1" applyBorder="1"/>
    <xf numFmtId="0" fontId="23" fillId="6" borderId="21" xfId="0" applyFont="1" applyFill="1" applyBorder="1" applyAlignment="1">
      <alignment horizontal="left" vertical="center"/>
    </xf>
    <xf numFmtId="0" fontId="18" fillId="6" borderId="2" xfId="0" applyFont="1" applyFill="1" applyBorder="1"/>
    <xf numFmtId="14" fontId="0" fillId="0" borderId="43" xfId="0" applyNumberFormat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24" fillId="4" borderId="20" xfId="0" applyFont="1" applyFill="1" applyBorder="1" applyAlignment="1">
      <alignment horizontal="left" vertical="center"/>
    </xf>
    <xf numFmtId="0" fontId="25" fillId="4" borderId="21" xfId="0" applyFont="1" applyFill="1" applyBorder="1"/>
    <xf numFmtId="0" fontId="25" fillId="4" borderId="21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27" fillId="6" borderId="21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4" fillId="4" borderId="2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26" fillId="6" borderId="20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left" vertical="center" wrapText="1" inden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19" fillId="3" borderId="4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left" vertical="center"/>
    </xf>
    <xf numFmtId="0" fontId="18" fillId="6" borderId="41" xfId="0" applyFont="1" applyFill="1" applyBorder="1"/>
    <xf numFmtId="0" fontId="18" fillId="6" borderId="41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left" vertical="center"/>
    </xf>
    <xf numFmtId="0" fontId="32" fillId="4" borderId="55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6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0" fillId="0" borderId="0" xfId="0" applyFont="1"/>
    <xf numFmtId="0" fontId="5" fillId="0" borderId="0" xfId="1" applyFont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31" fillId="0" borderId="12" xfId="0" applyNumberFormat="1" applyFont="1" applyBorder="1" applyAlignment="1">
      <alignment horizontal="left" vertical="center" indent="1"/>
    </xf>
    <xf numFmtId="0" fontId="19" fillId="3" borderId="44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vertical="center" wrapText="1"/>
    </xf>
    <xf numFmtId="0" fontId="33" fillId="0" borderId="36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right" vertical="center"/>
    </xf>
    <xf numFmtId="0" fontId="24" fillId="4" borderId="21" xfId="0" applyFont="1" applyFill="1" applyBorder="1" applyAlignment="1">
      <alignment horizontal="left" vertical="center"/>
    </xf>
    <xf numFmtId="0" fontId="25" fillId="4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/>
    </xf>
    <xf numFmtId="0" fontId="25" fillId="4" borderId="2" xfId="0" applyFont="1" applyFill="1" applyBorder="1"/>
    <xf numFmtId="0" fontId="25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44" xfId="0" applyFont="1" applyBorder="1" applyAlignment="1">
      <alignment horizontal="left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85726</xdr:rowOff>
    </xdr:from>
    <xdr:to>
      <xdr:col>0</xdr:col>
      <xdr:colOff>1733551</xdr:colOff>
      <xdr:row>6</xdr:row>
      <xdr:rowOff>13049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85726"/>
          <a:ext cx="1619250" cy="1117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nd-toku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4"/>
  <sheetViews>
    <sheetView tabSelected="1" zoomScaleNormal="100" workbookViewId="0"/>
  </sheetViews>
  <sheetFormatPr defaultRowHeight="15" x14ac:dyDescent="0.25"/>
  <cols>
    <col min="1" max="1" width="38" customWidth="1"/>
    <col min="2" max="2" width="35.7109375" customWidth="1"/>
    <col min="3" max="3" width="6.28515625" customWidth="1"/>
    <col min="4" max="4" width="4.140625" customWidth="1"/>
    <col min="5" max="5" width="4.28515625" customWidth="1"/>
    <col min="6" max="6" width="10.5703125" customWidth="1"/>
    <col min="7" max="8" width="0.140625" style="154" customWidth="1"/>
    <col min="9" max="9" width="9" style="154"/>
    <col min="10" max="10" width="9.140625" style="132" customWidth="1"/>
    <col min="11" max="13" width="9.140625" style="178"/>
  </cols>
  <sheetData>
    <row r="2" spans="1:8" ht="18.75" x14ac:dyDescent="0.25">
      <c r="A2" s="7"/>
      <c r="B2" s="122" t="s">
        <v>119</v>
      </c>
    </row>
    <row r="3" spans="1:8" ht="15" customHeight="1" x14ac:dyDescent="0.25">
      <c r="A3" s="8"/>
      <c r="B3" s="37" t="s">
        <v>193</v>
      </c>
      <c r="C3" s="1"/>
    </row>
    <row r="4" spans="1:8" x14ac:dyDescent="0.25">
      <c r="A4" s="2"/>
      <c r="B4" t="s">
        <v>194</v>
      </c>
    </row>
    <row r="5" spans="1:8" x14ac:dyDescent="0.25">
      <c r="A5" s="2"/>
      <c r="B5" t="s">
        <v>151</v>
      </c>
    </row>
    <row r="6" spans="1:8" x14ac:dyDescent="0.25">
      <c r="A6" s="2"/>
    </row>
    <row r="7" spans="1:8" ht="20.25" x14ac:dyDescent="0.25">
      <c r="A7" s="3"/>
      <c r="B7" s="43" t="s">
        <v>285</v>
      </c>
      <c r="C7" s="39"/>
    </row>
    <row r="8" spans="1:8" ht="20.25" x14ac:dyDescent="0.25">
      <c r="A8" s="38" t="s">
        <v>152</v>
      </c>
      <c r="B8" s="4" t="s">
        <v>192</v>
      </c>
      <c r="C8" s="39"/>
    </row>
    <row r="9" spans="1:8" ht="19.5" thickBot="1" x14ac:dyDescent="0.3">
      <c r="A9" s="123"/>
      <c r="B9" s="5"/>
      <c r="C9" s="6"/>
      <c r="F9" s="6"/>
    </row>
    <row r="10" spans="1:8" x14ac:dyDescent="0.25">
      <c r="A10" s="13" t="s">
        <v>70</v>
      </c>
      <c r="B10" s="14"/>
      <c r="C10" s="14"/>
      <c r="D10" s="14"/>
      <c r="E10" s="14"/>
      <c r="F10" s="15"/>
      <c r="G10" s="131"/>
    </row>
    <row r="11" spans="1:8" ht="45.75" thickBot="1" x14ac:dyDescent="0.3">
      <c r="A11" s="82" t="s">
        <v>0</v>
      </c>
      <c r="B11" s="83" t="s">
        <v>286</v>
      </c>
      <c r="C11" s="40" t="s">
        <v>2</v>
      </c>
      <c r="D11" s="41" t="s">
        <v>3</v>
      </c>
      <c r="E11" s="125" t="s">
        <v>203</v>
      </c>
      <c r="F11" s="42" t="s">
        <v>195</v>
      </c>
      <c r="G11" s="159" t="s">
        <v>258</v>
      </c>
      <c r="H11" s="160" t="s">
        <v>259</v>
      </c>
    </row>
    <row r="12" spans="1:8" ht="15.75" thickBot="1" x14ac:dyDescent="0.3">
      <c r="A12" s="9" t="s">
        <v>149</v>
      </c>
      <c r="B12" s="10"/>
      <c r="C12" s="11"/>
      <c r="D12" s="11"/>
      <c r="E12" s="11"/>
      <c r="F12" s="12"/>
      <c r="G12" s="155"/>
    </row>
    <row r="13" spans="1:8" x14ac:dyDescent="0.25">
      <c r="A13" s="44" t="s">
        <v>172</v>
      </c>
      <c r="B13" s="45" t="s">
        <v>224</v>
      </c>
      <c r="C13" s="46">
        <v>1000</v>
      </c>
      <c r="D13" s="46">
        <v>2</v>
      </c>
      <c r="E13" s="46">
        <v>1</v>
      </c>
      <c r="F13" s="47">
        <f>C13*D13*E13</f>
        <v>2000</v>
      </c>
      <c r="G13" s="131">
        <f>300*D13</f>
        <v>600</v>
      </c>
      <c r="H13" s="154">
        <f>15*D13+0.5*D13</f>
        <v>31</v>
      </c>
    </row>
    <row r="14" spans="1:8" x14ac:dyDescent="0.25">
      <c r="A14" s="44" t="s">
        <v>173</v>
      </c>
      <c r="B14" s="45" t="s">
        <v>225</v>
      </c>
      <c r="C14" s="46">
        <v>1000</v>
      </c>
      <c r="D14" s="46">
        <v>2</v>
      </c>
      <c r="E14" s="46">
        <v>1</v>
      </c>
      <c r="F14" s="47">
        <f>C14*D14*E14</f>
        <v>2000</v>
      </c>
      <c r="G14" s="131">
        <f>150*D14</f>
        <v>300</v>
      </c>
      <c r="H14" s="154">
        <f>22.5*D14+0.5*2</f>
        <v>46</v>
      </c>
    </row>
    <row r="15" spans="1:8" ht="33.75" x14ac:dyDescent="0.25">
      <c r="A15" s="44" t="s">
        <v>145</v>
      </c>
      <c r="B15" s="45" t="s">
        <v>174</v>
      </c>
      <c r="C15" s="46">
        <v>8000</v>
      </c>
      <c r="D15" s="46">
        <v>1</v>
      </c>
      <c r="E15" s="46">
        <v>1</v>
      </c>
      <c r="F15" s="47">
        <f t="shared" ref="F15:F19" si="0">C15*D15*E15</f>
        <v>8000</v>
      </c>
      <c r="G15" s="155">
        <f>1250*2+50</f>
        <v>2550</v>
      </c>
      <c r="H15" s="154">
        <f>22*2+36*2+12.7*2+3.3+4*2</f>
        <v>152.70000000000002</v>
      </c>
    </row>
    <row r="16" spans="1:8" x14ac:dyDescent="0.25">
      <c r="A16" s="44" t="s">
        <v>231</v>
      </c>
      <c r="B16" s="45" t="s">
        <v>230</v>
      </c>
      <c r="C16" s="46">
        <v>0</v>
      </c>
      <c r="D16" s="46">
        <v>2</v>
      </c>
      <c r="E16" s="46">
        <v>1</v>
      </c>
      <c r="F16" s="47">
        <f t="shared" si="0"/>
        <v>0</v>
      </c>
      <c r="G16" s="157"/>
    </row>
    <row r="17" spans="1:8" ht="33.75" x14ac:dyDescent="0.25">
      <c r="A17" s="44" t="s">
        <v>146</v>
      </c>
      <c r="B17" s="45" t="s">
        <v>175</v>
      </c>
      <c r="C17" s="46">
        <v>16000</v>
      </c>
      <c r="D17" s="46">
        <v>1</v>
      </c>
      <c r="E17" s="46">
        <v>1</v>
      </c>
      <c r="F17" s="47">
        <f t="shared" si="0"/>
        <v>16000</v>
      </c>
      <c r="G17" s="155">
        <f>1250*2+50</f>
        <v>2550</v>
      </c>
      <c r="H17" s="154">
        <f>22*4+36*4+12.7*2+3.3+4*2</f>
        <v>268.7</v>
      </c>
    </row>
    <row r="18" spans="1:8" ht="33.75" x14ac:dyDescent="0.25">
      <c r="A18" s="44" t="s">
        <v>147</v>
      </c>
      <c r="B18" s="45" t="s">
        <v>176</v>
      </c>
      <c r="C18" s="46">
        <v>16000</v>
      </c>
      <c r="D18" s="46">
        <v>1</v>
      </c>
      <c r="E18" s="46">
        <v>1</v>
      </c>
      <c r="F18" s="47">
        <f t="shared" si="0"/>
        <v>16000</v>
      </c>
      <c r="G18" s="155">
        <f>1250*2+50</f>
        <v>2550</v>
      </c>
      <c r="H18" s="154">
        <f>45*2+36*4+12.7*2+3.3+4*2</f>
        <v>270.7</v>
      </c>
    </row>
    <row r="19" spans="1:8" ht="33.75" x14ac:dyDescent="0.25">
      <c r="A19" s="44" t="s">
        <v>148</v>
      </c>
      <c r="B19" s="45" t="s">
        <v>177</v>
      </c>
      <c r="C19" s="46">
        <v>20000</v>
      </c>
      <c r="D19" s="46">
        <v>1</v>
      </c>
      <c r="E19" s="46">
        <v>1</v>
      </c>
      <c r="F19" s="47">
        <f t="shared" si="0"/>
        <v>20000</v>
      </c>
      <c r="G19" s="155">
        <f>1250*3+50</f>
        <v>3800</v>
      </c>
      <c r="H19" s="154">
        <f>77.5*2+87*2+3*4+12.7*2+8.4+3.3+4*3</f>
        <v>390.09999999999997</v>
      </c>
    </row>
    <row r="20" spans="1:8" ht="45.75" thickBot="1" x14ac:dyDescent="0.3">
      <c r="A20" s="44" t="s">
        <v>250</v>
      </c>
      <c r="B20" s="45" t="s">
        <v>245</v>
      </c>
      <c r="C20" s="46">
        <v>50000</v>
      </c>
      <c r="D20" s="46">
        <v>1</v>
      </c>
      <c r="E20" s="46">
        <v>1</v>
      </c>
      <c r="F20" s="47">
        <f t="shared" ref="F20" si="1">C20*D20*E20</f>
        <v>50000</v>
      </c>
      <c r="G20" s="155">
        <f>1800*2</f>
        <v>3600</v>
      </c>
      <c r="H20" s="154">
        <f>26*6+52*6+10*2+2*6+12.2*2+5*2</f>
        <v>534.4</v>
      </c>
    </row>
    <row r="21" spans="1:8" ht="15.75" thickBot="1" x14ac:dyDescent="0.3">
      <c r="A21" s="9" t="s">
        <v>4</v>
      </c>
      <c r="B21" s="10"/>
      <c r="C21" s="11"/>
      <c r="D21" s="11"/>
      <c r="E21" s="11"/>
      <c r="F21" s="12"/>
      <c r="G21" s="131"/>
    </row>
    <row r="22" spans="1:8" x14ac:dyDescent="0.25">
      <c r="A22" s="145" t="s">
        <v>241</v>
      </c>
      <c r="B22" s="146" t="s">
        <v>240</v>
      </c>
      <c r="C22" s="147">
        <v>2000</v>
      </c>
      <c r="D22" s="147">
        <v>2</v>
      </c>
      <c r="E22" s="147">
        <v>1</v>
      </c>
      <c r="F22" s="148">
        <f t="shared" ref="F22:F26" si="2">C22*D22*E22</f>
        <v>4000</v>
      </c>
      <c r="G22" s="154">
        <v>1250</v>
      </c>
      <c r="H22" s="154">
        <f>20.5*D22+12</f>
        <v>53</v>
      </c>
    </row>
    <row r="23" spans="1:8" x14ac:dyDescent="0.25">
      <c r="A23" s="67" t="s">
        <v>5</v>
      </c>
      <c r="B23" s="149" t="s">
        <v>6</v>
      </c>
      <c r="C23" s="150">
        <v>2500</v>
      </c>
      <c r="D23" s="150">
        <v>8</v>
      </c>
      <c r="E23" s="150">
        <v>1</v>
      </c>
      <c r="F23" s="151">
        <f t="shared" si="2"/>
        <v>20000</v>
      </c>
      <c r="G23" s="154">
        <f>2000*D23/2</f>
        <v>8000</v>
      </c>
      <c r="H23" s="131">
        <f>22.5*D23+33*D23/2</f>
        <v>312</v>
      </c>
    </row>
    <row r="24" spans="1:8" x14ac:dyDescent="0.25">
      <c r="A24" s="67" t="s">
        <v>246</v>
      </c>
      <c r="B24" s="152" t="s">
        <v>247</v>
      </c>
      <c r="C24" s="153">
        <v>3000</v>
      </c>
      <c r="D24" s="150">
        <v>8</v>
      </c>
      <c r="E24" s="150">
        <v>1</v>
      </c>
      <c r="F24" s="151">
        <f t="shared" si="2"/>
        <v>24000</v>
      </c>
      <c r="G24" s="131"/>
      <c r="H24" s="131">
        <f>28.5*D24</f>
        <v>228</v>
      </c>
    </row>
    <row r="25" spans="1:8" x14ac:dyDescent="0.25">
      <c r="A25" s="67" t="s">
        <v>249</v>
      </c>
      <c r="B25" s="152" t="s">
        <v>248</v>
      </c>
      <c r="C25" s="153">
        <v>4500</v>
      </c>
      <c r="D25" s="150">
        <v>5</v>
      </c>
      <c r="E25" s="150">
        <v>1</v>
      </c>
      <c r="F25" s="151">
        <f t="shared" si="2"/>
        <v>22500</v>
      </c>
      <c r="G25" s="155">
        <f>1800*D25</f>
        <v>9000</v>
      </c>
      <c r="H25" s="154">
        <f>12.2*D25+5*D25</f>
        <v>86</v>
      </c>
    </row>
    <row r="26" spans="1:8" x14ac:dyDescent="0.25">
      <c r="A26" s="67" t="s">
        <v>242</v>
      </c>
      <c r="B26" s="149" t="s">
        <v>345</v>
      </c>
      <c r="C26" s="150">
        <v>3000</v>
      </c>
      <c r="D26" s="150">
        <v>8</v>
      </c>
      <c r="E26" s="150">
        <v>1</v>
      </c>
      <c r="F26" s="151">
        <f t="shared" si="2"/>
        <v>24000</v>
      </c>
      <c r="G26" s="155">
        <f>30*D26</f>
        <v>240</v>
      </c>
      <c r="H26" s="154">
        <f>2*D26</f>
        <v>16</v>
      </c>
    </row>
    <row r="27" spans="1:8" ht="23.25" thickBot="1" x14ac:dyDescent="0.3">
      <c r="A27" s="184" t="s">
        <v>362</v>
      </c>
      <c r="B27" s="49" t="s">
        <v>363</v>
      </c>
      <c r="C27" s="50">
        <v>2000</v>
      </c>
      <c r="D27" s="50">
        <v>2</v>
      </c>
      <c r="E27" s="50">
        <v>1</v>
      </c>
      <c r="F27" s="51">
        <f t="shared" ref="F27" si="3">C27*D27*E27</f>
        <v>4000</v>
      </c>
      <c r="G27" s="155"/>
    </row>
    <row r="28" spans="1:8" ht="15.75" thickBot="1" x14ac:dyDescent="0.3">
      <c r="A28" s="9" t="s">
        <v>7</v>
      </c>
      <c r="B28" s="10"/>
      <c r="C28" s="11"/>
      <c r="D28" s="11"/>
      <c r="E28" s="11"/>
      <c r="F28" s="12"/>
      <c r="G28" s="155"/>
    </row>
    <row r="29" spans="1:8" ht="22.5" x14ac:dyDescent="0.25">
      <c r="A29" s="52" t="s">
        <v>8</v>
      </c>
      <c r="B29" s="53" t="s">
        <v>9</v>
      </c>
      <c r="C29" s="54">
        <v>1000</v>
      </c>
      <c r="D29" s="54">
        <v>1</v>
      </c>
      <c r="E29" s="54">
        <v>1</v>
      </c>
      <c r="F29" s="55">
        <f>C29*D29*E29</f>
        <v>1000</v>
      </c>
      <c r="G29" s="155"/>
    </row>
    <row r="30" spans="1:8" ht="22.5" x14ac:dyDescent="0.25">
      <c r="A30" s="56" t="s">
        <v>10</v>
      </c>
      <c r="B30" s="57" t="s">
        <v>197</v>
      </c>
      <c r="C30" s="58">
        <v>1500</v>
      </c>
      <c r="D30" s="58">
        <v>1</v>
      </c>
      <c r="E30" s="58">
        <v>1</v>
      </c>
      <c r="F30" s="55">
        <f t="shared" ref="F30:F31" si="4">C30*D30*E30</f>
        <v>1500</v>
      </c>
      <c r="G30" s="155"/>
    </row>
    <row r="31" spans="1:8" ht="23.25" thickBot="1" x14ac:dyDescent="0.3">
      <c r="A31" s="52" t="s">
        <v>11</v>
      </c>
      <c r="B31" s="53" t="s">
        <v>12</v>
      </c>
      <c r="C31" s="54">
        <v>1500</v>
      </c>
      <c r="D31" s="54">
        <v>1</v>
      </c>
      <c r="E31" s="54">
        <v>1</v>
      </c>
      <c r="F31" s="55">
        <f t="shared" si="4"/>
        <v>1500</v>
      </c>
      <c r="G31" s="155"/>
    </row>
    <row r="32" spans="1:8" ht="15.75" thickBot="1" x14ac:dyDescent="0.3">
      <c r="A32" s="9" t="s">
        <v>13</v>
      </c>
      <c r="B32" s="10"/>
      <c r="C32" s="11"/>
      <c r="D32" s="11"/>
      <c r="E32" s="11"/>
      <c r="F32" s="12"/>
    </row>
    <row r="33" spans="1:8" x14ac:dyDescent="0.25">
      <c r="A33" s="60" t="s">
        <v>14</v>
      </c>
      <c r="B33" s="53" t="s">
        <v>15</v>
      </c>
      <c r="C33" s="54">
        <v>3000</v>
      </c>
      <c r="D33" s="54">
        <v>1</v>
      </c>
      <c r="E33" s="54">
        <v>1</v>
      </c>
      <c r="F33" s="47">
        <f>C33*D33*E33</f>
        <v>3000</v>
      </c>
      <c r="G33" s="155"/>
      <c r="H33" s="155">
        <f>3.2+1.3</f>
        <v>4.5</v>
      </c>
    </row>
    <row r="34" spans="1:8" ht="45" x14ac:dyDescent="0.25">
      <c r="A34" s="60" t="s">
        <v>16</v>
      </c>
      <c r="B34" s="61" t="s">
        <v>17</v>
      </c>
      <c r="C34" s="62">
        <v>8500</v>
      </c>
      <c r="D34" s="62">
        <v>1</v>
      </c>
      <c r="E34" s="62">
        <v>1</v>
      </c>
      <c r="F34" s="47">
        <f t="shared" ref="F34:F36" si="5">C34*D34*E34</f>
        <v>8500</v>
      </c>
      <c r="G34" s="155">
        <f>150+50</f>
        <v>200</v>
      </c>
      <c r="H34" s="154">
        <f>(21+10)+(5+3)</f>
        <v>39</v>
      </c>
    </row>
    <row r="35" spans="1:8" ht="22.5" x14ac:dyDescent="0.25">
      <c r="A35" s="60" t="s">
        <v>136</v>
      </c>
      <c r="B35" s="61" t="s">
        <v>223</v>
      </c>
      <c r="C35" s="62">
        <v>28000</v>
      </c>
      <c r="D35" s="62">
        <v>1</v>
      </c>
      <c r="E35" s="62">
        <v>1</v>
      </c>
      <c r="F35" s="47">
        <f t="shared" si="5"/>
        <v>28000</v>
      </c>
      <c r="G35" s="155">
        <f>170+120</f>
        <v>290</v>
      </c>
      <c r="H35" s="154">
        <f>(36+20)+(12.4+4)</f>
        <v>72.400000000000006</v>
      </c>
    </row>
    <row r="36" spans="1:8" x14ac:dyDescent="0.25">
      <c r="A36" s="60" t="s">
        <v>304</v>
      </c>
      <c r="B36" s="61" t="s">
        <v>306</v>
      </c>
      <c r="C36" s="62">
        <v>250</v>
      </c>
      <c r="D36" s="62">
        <v>3</v>
      </c>
      <c r="E36" s="62">
        <v>1</v>
      </c>
      <c r="F36" s="47">
        <f t="shared" si="5"/>
        <v>750</v>
      </c>
      <c r="G36" s="155"/>
    </row>
    <row r="37" spans="1:8" ht="15.75" thickBot="1" x14ac:dyDescent="0.3">
      <c r="A37" s="60" t="s">
        <v>304</v>
      </c>
      <c r="B37" s="61" t="s">
        <v>305</v>
      </c>
      <c r="C37" s="62">
        <v>500</v>
      </c>
      <c r="D37" s="62">
        <v>2</v>
      </c>
      <c r="E37" s="62">
        <v>1</v>
      </c>
      <c r="F37" s="47">
        <f t="shared" ref="F37" si="6">C37*D37*E37</f>
        <v>1000</v>
      </c>
      <c r="G37" s="155"/>
    </row>
    <row r="38" spans="1:8" ht="15.75" thickBot="1" x14ac:dyDescent="0.3">
      <c r="A38" s="9" t="s">
        <v>18</v>
      </c>
      <c r="B38" s="10"/>
      <c r="C38" s="11"/>
      <c r="D38" s="11"/>
      <c r="E38" s="11"/>
      <c r="F38" s="12"/>
    </row>
    <row r="39" spans="1:8" ht="15.75" thickBot="1" x14ac:dyDescent="0.3">
      <c r="A39" s="60" t="s">
        <v>19</v>
      </c>
      <c r="B39" s="61" t="s">
        <v>20</v>
      </c>
      <c r="C39" s="62">
        <v>1600</v>
      </c>
      <c r="D39" s="62">
        <v>1</v>
      </c>
      <c r="E39" s="62">
        <v>1</v>
      </c>
      <c r="F39" s="47">
        <f>C39*D39*E39</f>
        <v>1600</v>
      </c>
      <c r="G39" s="155"/>
    </row>
    <row r="40" spans="1:8" ht="15.75" thickBot="1" x14ac:dyDescent="0.3">
      <c r="A40" s="9" t="s">
        <v>21</v>
      </c>
      <c r="B40" s="10"/>
      <c r="C40" s="11"/>
      <c r="D40" s="11"/>
      <c r="E40" s="11"/>
      <c r="F40" s="12"/>
      <c r="G40" s="155"/>
    </row>
    <row r="41" spans="1:8" ht="15.75" thickBot="1" x14ac:dyDescent="0.3">
      <c r="A41" s="60" t="s">
        <v>22</v>
      </c>
      <c r="B41" s="61" t="s">
        <v>23</v>
      </c>
      <c r="C41" s="62">
        <v>800</v>
      </c>
      <c r="D41" s="62">
        <v>1</v>
      </c>
      <c r="E41" s="62">
        <v>1</v>
      </c>
      <c r="F41" s="47">
        <f>C41*D41*E41</f>
        <v>800</v>
      </c>
      <c r="G41" s="155"/>
    </row>
    <row r="42" spans="1:8" ht="15.75" thickBot="1" x14ac:dyDescent="0.3">
      <c r="A42" s="9" t="s">
        <v>24</v>
      </c>
      <c r="B42" s="10"/>
      <c r="C42" s="11"/>
      <c r="D42" s="11"/>
      <c r="E42" s="11"/>
      <c r="F42" s="12"/>
    </row>
    <row r="43" spans="1:8" ht="15.75" thickBot="1" x14ac:dyDescent="0.3">
      <c r="A43" s="60" t="s">
        <v>25</v>
      </c>
      <c r="B43" s="63" t="s">
        <v>26</v>
      </c>
      <c r="C43" s="62">
        <v>300</v>
      </c>
      <c r="D43" s="62">
        <v>13</v>
      </c>
      <c r="E43" s="62">
        <v>1</v>
      </c>
      <c r="F43" s="47">
        <f>C43*D43*E43</f>
        <v>3900</v>
      </c>
      <c r="G43" s="156"/>
      <c r="H43" s="154">
        <f>0.7*D43</f>
        <v>9.1</v>
      </c>
    </row>
    <row r="44" spans="1:8" ht="15.75" thickBot="1" x14ac:dyDescent="0.3">
      <c r="A44" s="9" t="s">
        <v>27</v>
      </c>
      <c r="B44" s="10"/>
      <c r="C44" s="11"/>
      <c r="D44" s="11"/>
      <c r="E44" s="11"/>
      <c r="F44" s="12"/>
    </row>
    <row r="45" spans="1:8" x14ac:dyDescent="0.25">
      <c r="A45" s="52" t="s">
        <v>28</v>
      </c>
      <c r="B45" s="65" t="s">
        <v>29</v>
      </c>
      <c r="C45" s="66">
        <v>2000</v>
      </c>
      <c r="D45" s="66">
        <v>1</v>
      </c>
      <c r="E45" s="66">
        <v>1</v>
      </c>
      <c r="F45" s="64">
        <f t="shared" ref="F45" si="7">C45*D45*E45</f>
        <v>2000</v>
      </c>
      <c r="H45" s="154">
        <f>20.5*D45+5*D45</f>
        <v>25.5</v>
      </c>
    </row>
    <row r="46" spans="1:8" ht="15.75" thickBot="1" x14ac:dyDescent="0.3">
      <c r="A46" s="52" t="s">
        <v>30</v>
      </c>
      <c r="B46" s="65" t="s">
        <v>31</v>
      </c>
      <c r="C46" s="62">
        <v>2500</v>
      </c>
      <c r="D46" s="62">
        <v>1</v>
      </c>
      <c r="E46" s="62">
        <v>1</v>
      </c>
      <c r="F46" s="64">
        <f>C46*D46*E46</f>
        <v>2500</v>
      </c>
      <c r="H46" s="154">
        <f>24*D46+6*D46</f>
        <v>30</v>
      </c>
    </row>
    <row r="47" spans="1:8" ht="15.75" thickBot="1" x14ac:dyDescent="0.3">
      <c r="A47" s="9" t="s">
        <v>32</v>
      </c>
      <c r="B47" s="10"/>
      <c r="C47" s="11"/>
      <c r="D47" s="11"/>
      <c r="E47" s="11"/>
      <c r="F47" s="12"/>
      <c r="G47" s="155"/>
    </row>
    <row r="48" spans="1:8" ht="15" customHeight="1" thickBot="1" x14ac:dyDescent="0.3">
      <c r="A48" s="67" t="s">
        <v>33</v>
      </c>
      <c r="B48" s="68" t="s">
        <v>34</v>
      </c>
      <c r="C48" s="46">
        <v>4500</v>
      </c>
      <c r="D48" s="46">
        <v>1</v>
      </c>
      <c r="E48" s="46">
        <v>1</v>
      </c>
      <c r="F48" s="47">
        <f>C48*D48*E48</f>
        <v>4500</v>
      </c>
      <c r="G48" s="155"/>
      <c r="H48" s="154">
        <f>(30+7)*D48+(3+1)*D48</f>
        <v>41</v>
      </c>
    </row>
    <row r="49" spans="1:8" ht="15.75" thickBot="1" x14ac:dyDescent="0.3">
      <c r="A49" s="9" t="s">
        <v>35</v>
      </c>
      <c r="B49" s="10"/>
      <c r="C49" s="11"/>
      <c r="D49" s="11"/>
      <c r="E49" s="11"/>
      <c r="F49" s="12"/>
      <c r="G49" s="155"/>
    </row>
    <row r="50" spans="1:8" ht="45" x14ac:dyDescent="0.25">
      <c r="A50" s="69" t="s">
        <v>35</v>
      </c>
      <c r="B50" s="70" t="s">
        <v>232</v>
      </c>
      <c r="C50" s="71">
        <v>8000</v>
      </c>
      <c r="D50" s="71">
        <v>1</v>
      </c>
      <c r="E50" s="71">
        <v>1</v>
      </c>
      <c r="F50" s="126">
        <f>C50*D50*E50</f>
        <v>8000</v>
      </c>
      <c r="G50" s="157"/>
    </row>
    <row r="51" spans="1:8" ht="22.5" x14ac:dyDescent="0.25">
      <c r="A51" s="67" t="s">
        <v>120</v>
      </c>
      <c r="B51" s="72" t="s">
        <v>178</v>
      </c>
      <c r="C51" s="54">
        <v>3000</v>
      </c>
      <c r="D51" s="54">
        <v>1</v>
      </c>
      <c r="E51" s="54">
        <v>1</v>
      </c>
      <c r="F51" s="92">
        <f t="shared" ref="F51:F52" si="8">C51*D51*E51</f>
        <v>3000</v>
      </c>
      <c r="G51" s="157"/>
      <c r="H51" s="154">
        <f>12*D51</f>
        <v>12</v>
      </c>
    </row>
    <row r="52" spans="1:8" ht="15.75" thickBot="1" x14ac:dyDescent="0.3">
      <c r="A52" s="73" t="s">
        <v>179</v>
      </c>
      <c r="B52" s="74" t="s">
        <v>196</v>
      </c>
      <c r="C52" s="75">
        <v>4000</v>
      </c>
      <c r="D52" s="75">
        <v>1</v>
      </c>
      <c r="E52" s="75">
        <v>1</v>
      </c>
      <c r="F52" s="127">
        <f t="shared" si="8"/>
        <v>4000</v>
      </c>
      <c r="G52" s="157"/>
      <c r="H52" s="154">
        <f>59+2+2.5*2</f>
        <v>66</v>
      </c>
    </row>
    <row r="53" spans="1:8" ht="15.75" thickBot="1" x14ac:dyDescent="0.3">
      <c r="A53" s="17" t="s">
        <v>255</v>
      </c>
      <c r="B53" s="18"/>
      <c r="C53" s="19"/>
      <c r="D53" s="19"/>
      <c r="E53" s="19"/>
      <c r="F53" s="20"/>
    </row>
    <row r="54" spans="1:8" ht="15" customHeight="1" x14ac:dyDescent="0.25">
      <c r="A54" s="67" t="s">
        <v>253</v>
      </c>
      <c r="B54" s="53" t="s">
        <v>254</v>
      </c>
      <c r="C54" s="46">
        <v>10000</v>
      </c>
      <c r="D54" s="46">
        <v>1</v>
      </c>
      <c r="E54" s="46">
        <v>1</v>
      </c>
      <c r="F54" s="47">
        <f>C54*D54*E54</f>
        <v>10000</v>
      </c>
      <c r="G54" s="154">
        <f>15*D54</f>
        <v>15</v>
      </c>
      <c r="H54" s="154">
        <f>24.5*D54+10*D54</f>
        <v>34.5</v>
      </c>
    </row>
    <row r="55" spans="1:8" ht="15" customHeight="1" x14ac:dyDescent="0.25">
      <c r="A55" s="48" t="s">
        <v>253</v>
      </c>
      <c r="B55" s="57" t="s">
        <v>356</v>
      </c>
      <c r="C55" s="120">
        <v>12000</v>
      </c>
      <c r="D55" s="182">
        <v>1</v>
      </c>
      <c r="E55" s="182">
        <v>1</v>
      </c>
      <c r="F55" s="183">
        <f t="shared" ref="F55" si="9">C55*D55*E55</f>
        <v>12000</v>
      </c>
      <c r="H55" s="154">
        <f>18.5*D55+7.5*D55</f>
        <v>26</v>
      </c>
    </row>
    <row r="56" spans="1:8" ht="15" customHeight="1" thickBot="1" x14ac:dyDescent="0.3">
      <c r="A56" s="48" t="s">
        <v>253</v>
      </c>
      <c r="B56" s="57" t="s">
        <v>357</v>
      </c>
      <c r="C56" s="50">
        <v>12000</v>
      </c>
      <c r="D56" s="50">
        <v>1</v>
      </c>
      <c r="E56" s="50">
        <v>1</v>
      </c>
      <c r="F56" s="51">
        <f t="shared" ref="F56" si="10">C56*D56*E56</f>
        <v>12000</v>
      </c>
      <c r="H56" s="154">
        <f>29*D56+10*D56</f>
        <v>39</v>
      </c>
    </row>
    <row r="57" spans="1:8" ht="15.75" thickBot="1" x14ac:dyDescent="0.3">
      <c r="A57" s="9" t="s">
        <v>36</v>
      </c>
      <c r="B57" s="10"/>
      <c r="C57" s="11"/>
      <c r="D57" s="11"/>
      <c r="E57" s="11"/>
      <c r="F57" s="12"/>
    </row>
    <row r="58" spans="1:8" ht="15" customHeight="1" x14ac:dyDescent="0.25">
      <c r="A58" s="67" t="s">
        <v>37</v>
      </c>
      <c r="B58" s="53" t="s">
        <v>339</v>
      </c>
      <c r="C58" s="46">
        <v>1250</v>
      </c>
      <c r="D58" s="46">
        <v>4</v>
      </c>
      <c r="E58" s="46">
        <v>1</v>
      </c>
      <c r="F58" s="47">
        <f>C58*D58*E58</f>
        <v>5000</v>
      </c>
      <c r="H58" s="154">
        <f>2*D58</f>
        <v>8</v>
      </c>
    </row>
    <row r="59" spans="1:8" ht="15" customHeight="1" x14ac:dyDescent="0.25">
      <c r="A59" s="67" t="s">
        <v>37</v>
      </c>
      <c r="B59" s="53" t="s">
        <v>340</v>
      </c>
      <c r="C59" s="46">
        <v>1500</v>
      </c>
      <c r="D59" s="46">
        <v>4</v>
      </c>
      <c r="E59" s="46">
        <v>1</v>
      </c>
      <c r="F59" s="47">
        <f t="shared" ref="F59:F67" si="11">C59*D59*E59</f>
        <v>6000</v>
      </c>
      <c r="H59" s="154">
        <f>2*D59</f>
        <v>8</v>
      </c>
    </row>
    <row r="60" spans="1:8" ht="15" customHeight="1" x14ac:dyDescent="0.25">
      <c r="A60" s="67" t="s">
        <v>311</v>
      </c>
      <c r="B60" s="53" t="s">
        <v>346</v>
      </c>
      <c r="C60" s="46">
        <v>2000</v>
      </c>
      <c r="D60" s="46">
        <v>2</v>
      </c>
      <c r="E60" s="46">
        <v>1</v>
      </c>
      <c r="F60" s="47">
        <f t="shared" si="11"/>
        <v>4000</v>
      </c>
    </row>
    <row r="61" spans="1:8" ht="15" customHeight="1" x14ac:dyDescent="0.25">
      <c r="A61" s="67" t="s">
        <v>311</v>
      </c>
      <c r="B61" s="53" t="s">
        <v>341</v>
      </c>
      <c r="C61" s="46">
        <v>2000</v>
      </c>
      <c r="D61" s="46">
        <v>4</v>
      </c>
      <c r="E61" s="46">
        <v>1</v>
      </c>
      <c r="F61" s="47">
        <f t="shared" ref="F61:F64" si="12">C61*D61*E61</f>
        <v>8000</v>
      </c>
    </row>
    <row r="62" spans="1:8" ht="15" customHeight="1" x14ac:dyDescent="0.25">
      <c r="A62" s="67" t="s">
        <v>311</v>
      </c>
      <c r="B62" s="53" t="s">
        <v>344</v>
      </c>
      <c r="C62" s="46">
        <v>3000</v>
      </c>
      <c r="D62" s="46">
        <v>2</v>
      </c>
      <c r="E62" s="46">
        <v>1</v>
      </c>
      <c r="F62" s="47">
        <f t="shared" si="12"/>
        <v>6000</v>
      </c>
    </row>
    <row r="63" spans="1:8" ht="22.5" x14ac:dyDescent="0.25">
      <c r="A63" s="67" t="s">
        <v>359</v>
      </c>
      <c r="B63" s="53" t="s">
        <v>360</v>
      </c>
      <c r="C63" s="46">
        <v>2000</v>
      </c>
      <c r="D63" s="46">
        <v>2</v>
      </c>
      <c r="E63" s="46">
        <v>1</v>
      </c>
      <c r="F63" s="47">
        <f t="shared" si="12"/>
        <v>4000</v>
      </c>
    </row>
    <row r="64" spans="1:8" ht="15" customHeight="1" x14ac:dyDescent="0.25">
      <c r="A64" s="67" t="s">
        <v>348</v>
      </c>
      <c r="B64" s="53" t="s">
        <v>347</v>
      </c>
      <c r="C64" s="46">
        <v>200</v>
      </c>
      <c r="D64" s="46">
        <v>2</v>
      </c>
      <c r="E64" s="46">
        <v>1</v>
      </c>
      <c r="F64" s="47">
        <f t="shared" si="12"/>
        <v>400</v>
      </c>
    </row>
    <row r="65" spans="1:9" ht="15" customHeight="1" x14ac:dyDescent="0.25">
      <c r="A65" s="67" t="s">
        <v>299</v>
      </c>
      <c r="B65" s="53" t="s">
        <v>300</v>
      </c>
      <c r="C65" s="46">
        <v>0</v>
      </c>
      <c r="D65" s="46">
        <v>20</v>
      </c>
      <c r="E65" s="46">
        <v>1</v>
      </c>
      <c r="F65" s="47">
        <f t="shared" ref="F65" si="13">C65*D65*E65</f>
        <v>0</v>
      </c>
    </row>
    <row r="66" spans="1:9" ht="15" customHeight="1" x14ac:dyDescent="0.25">
      <c r="A66" s="67" t="s">
        <v>273</v>
      </c>
      <c r="B66" s="53" t="s">
        <v>272</v>
      </c>
      <c r="C66" s="46">
        <v>100</v>
      </c>
      <c r="D66" s="46">
        <v>2</v>
      </c>
      <c r="E66" s="46">
        <v>1</v>
      </c>
      <c r="F66" s="47">
        <f t="shared" si="11"/>
        <v>200</v>
      </c>
    </row>
    <row r="67" spans="1:9" ht="33.75" x14ac:dyDescent="0.25">
      <c r="A67" s="67" t="s">
        <v>358</v>
      </c>
      <c r="B67" s="53" t="s">
        <v>361</v>
      </c>
      <c r="C67" s="46">
        <v>2500</v>
      </c>
      <c r="D67" s="46">
        <v>1</v>
      </c>
      <c r="E67" s="46">
        <v>1</v>
      </c>
      <c r="F67" s="47">
        <f t="shared" si="11"/>
        <v>2500</v>
      </c>
      <c r="H67" s="154">
        <f>2.5*D67</f>
        <v>2.5</v>
      </c>
    </row>
    <row r="68" spans="1:9" x14ac:dyDescent="0.25">
      <c r="A68" s="67" t="s">
        <v>251</v>
      </c>
      <c r="B68" s="53" t="s">
        <v>342</v>
      </c>
      <c r="C68" s="46">
        <v>2000</v>
      </c>
      <c r="D68" s="46">
        <v>3</v>
      </c>
      <c r="E68" s="46">
        <v>1</v>
      </c>
      <c r="F68" s="47">
        <f t="shared" ref="F68" si="14">C68*D68*E68</f>
        <v>6000</v>
      </c>
      <c r="H68" s="154">
        <f>2*D68</f>
        <v>6</v>
      </c>
    </row>
    <row r="69" spans="1:9" ht="22.5" x14ac:dyDescent="0.25">
      <c r="A69" s="67" t="s">
        <v>291</v>
      </c>
      <c r="B69" s="53" t="s">
        <v>343</v>
      </c>
      <c r="C69" s="46">
        <v>2000</v>
      </c>
      <c r="D69" s="46">
        <v>4</v>
      </c>
      <c r="E69" s="46">
        <v>1</v>
      </c>
      <c r="F69" s="47">
        <f t="shared" ref="F69:F70" si="15">C69*D69*E69</f>
        <v>8000</v>
      </c>
    </row>
    <row r="70" spans="1:9" ht="23.25" thickBot="1" x14ac:dyDescent="0.3">
      <c r="A70" s="166" t="s">
        <v>296</v>
      </c>
      <c r="B70" s="167" t="s">
        <v>295</v>
      </c>
      <c r="C70" s="168">
        <v>2000</v>
      </c>
      <c r="D70" s="168">
        <v>2</v>
      </c>
      <c r="E70" s="168">
        <v>1</v>
      </c>
      <c r="F70" s="47">
        <f t="shared" si="15"/>
        <v>4000</v>
      </c>
    </row>
    <row r="71" spans="1:9" ht="15" customHeight="1" thickBot="1" x14ac:dyDescent="0.3">
      <c r="A71" s="9" t="s">
        <v>38</v>
      </c>
      <c r="B71" s="10"/>
      <c r="C71" s="11"/>
      <c r="D71" s="11"/>
      <c r="E71" s="11"/>
      <c r="F71" s="12"/>
    </row>
    <row r="72" spans="1:9" ht="15" customHeight="1" x14ac:dyDescent="0.25">
      <c r="A72" s="67" t="s">
        <v>39</v>
      </c>
      <c r="B72" s="53" t="s">
        <v>40</v>
      </c>
      <c r="C72" s="46">
        <v>400</v>
      </c>
      <c r="D72" s="46">
        <v>2</v>
      </c>
      <c r="E72" s="46">
        <v>1</v>
      </c>
      <c r="F72" s="47">
        <f>C72*D72*E72</f>
        <v>800</v>
      </c>
      <c r="G72" s="156"/>
      <c r="H72" s="154">
        <f>0.4*D72</f>
        <v>0.8</v>
      </c>
    </row>
    <row r="73" spans="1:9" ht="22.5" x14ac:dyDescent="0.25">
      <c r="A73" s="67" t="s">
        <v>217</v>
      </c>
      <c r="B73" s="53" t="s">
        <v>216</v>
      </c>
      <c r="C73" s="46">
        <v>500</v>
      </c>
      <c r="D73" s="46">
        <v>1</v>
      </c>
      <c r="E73" s="46">
        <v>1</v>
      </c>
      <c r="F73" s="47">
        <f>C73*D73*E73</f>
        <v>500</v>
      </c>
      <c r="G73" s="156"/>
      <c r="H73" s="154">
        <f>0.4*D73</f>
        <v>0.4</v>
      </c>
    </row>
    <row r="74" spans="1:9" ht="15.75" thickBot="1" x14ac:dyDescent="0.3">
      <c r="A74" s="67" t="s">
        <v>41</v>
      </c>
      <c r="B74" s="53" t="s">
        <v>42</v>
      </c>
      <c r="C74" s="46">
        <v>500</v>
      </c>
      <c r="D74" s="46">
        <v>4</v>
      </c>
      <c r="E74" s="46">
        <v>1</v>
      </c>
      <c r="F74" s="47">
        <f>C74*D74*E74</f>
        <v>2000</v>
      </c>
      <c r="G74" s="156"/>
      <c r="H74" s="154">
        <f>0.3*D74</f>
        <v>1.2</v>
      </c>
    </row>
    <row r="75" spans="1:9" ht="15.75" thickBot="1" x14ac:dyDescent="0.3">
      <c r="A75" s="9" t="s">
        <v>43</v>
      </c>
      <c r="B75" s="10"/>
      <c r="C75" s="11"/>
      <c r="D75" s="11"/>
      <c r="E75" s="11"/>
      <c r="F75" s="12"/>
    </row>
    <row r="76" spans="1:9" ht="22.5" x14ac:dyDescent="0.25">
      <c r="A76" s="67" t="s">
        <v>44</v>
      </c>
      <c r="B76" s="68" t="s">
        <v>45</v>
      </c>
      <c r="C76" s="46">
        <v>400</v>
      </c>
      <c r="D76" s="46">
        <v>4</v>
      </c>
      <c r="E76" s="46">
        <v>1</v>
      </c>
      <c r="F76" s="47">
        <f>C76*D76*E76</f>
        <v>1600</v>
      </c>
      <c r="G76" s="156"/>
      <c r="H76" s="154">
        <f>0.35*D76</f>
        <v>1.4</v>
      </c>
      <c r="I76" s="172"/>
    </row>
    <row r="77" spans="1:9" x14ac:dyDescent="0.25">
      <c r="A77" s="67" t="s">
        <v>205</v>
      </c>
      <c r="B77" s="68" t="s">
        <v>206</v>
      </c>
      <c r="C77" s="46">
        <v>0</v>
      </c>
      <c r="D77" s="46">
        <v>2</v>
      </c>
      <c r="E77" s="46">
        <v>1</v>
      </c>
      <c r="F77" s="47">
        <f t="shared" ref="F77:F83" si="16">C77*D77*E77</f>
        <v>0</v>
      </c>
      <c r="G77" s="156"/>
      <c r="H77" s="154">
        <f>0.1*2</f>
        <v>0.2</v>
      </c>
      <c r="I77" s="172"/>
    </row>
    <row r="78" spans="1:9" ht="22.5" x14ac:dyDescent="0.25">
      <c r="A78" s="67" t="s">
        <v>155</v>
      </c>
      <c r="B78" s="68" t="s">
        <v>153</v>
      </c>
      <c r="C78" s="46">
        <v>500</v>
      </c>
      <c r="D78" s="46">
        <v>1</v>
      </c>
      <c r="E78" s="46">
        <v>1</v>
      </c>
      <c r="F78" s="47">
        <f t="shared" si="16"/>
        <v>500</v>
      </c>
      <c r="G78" s="156"/>
      <c r="H78" s="154">
        <f>0.35*D78</f>
        <v>0.35</v>
      </c>
      <c r="I78" s="172"/>
    </row>
    <row r="79" spans="1:9" ht="22.5" x14ac:dyDescent="0.25">
      <c r="A79" s="67" t="s">
        <v>46</v>
      </c>
      <c r="B79" s="53" t="s">
        <v>47</v>
      </c>
      <c r="C79" s="46">
        <v>500</v>
      </c>
      <c r="D79" s="46">
        <v>2</v>
      </c>
      <c r="E79" s="46">
        <v>1</v>
      </c>
      <c r="F79" s="47">
        <f t="shared" si="16"/>
        <v>1000</v>
      </c>
      <c r="G79" s="156"/>
      <c r="H79" s="154">
        <f>0.2*D79</f>
        <v>0.4</v>
      </c>
      <c r="I79" s="172"/>
    </row>
    <row r="80" spans="1:9" ht="22.5" x14ac:dyDescent="0.25">
      <c r="A80" s="67" t="s">
        <v>48</v>
      </c>
      <c r="B80" s="53" t="s">
        <v>49</v>
      </c>
      <c r="C80" s="46">
        <v>750</v>
      </c>
      <c r="D80" s="46">
        <v>4</v>
      </c>
      <c r="E80" s="46">
        <v>1</v>
      </c>
      <c r="F80" s="47">
        <f t="shared" si="16"/>
        <v>3000</v>
      </c>
      <c r="G80" s="156"/>
      <c r="H80" s="154">
        <f>0.3*D80</f>
        <v>1.2</v>
      </c>
      <c r="I80" s="172"/>
    </row>
    <row r="81" spans="1:9" ht="22.5" x14ac:dyDescent="0.25">
      <c r="A81" s="67" t="s">
        <v>50</v>
      </c>
      <c r="B81" s="65" t="s">
        <v>51</v>
      </c>
      <c r="C81" s="66">
        <v>600</v>
      </c>
      <c r="D81" s="66">
        <v>1</v>
      </c>
      <c r="E81" s="66">
        <v>1</v>
      </c>
      <c r="F81" s="47">
        <f t="shared" si="16"/>
        <v>600</v>
      </c>
      <c r="G81" s="156"/>
      <c r="H81" s="154">
        <f>0.65*D81</f>
        <v>0.65</v>
      </c>
      <c r="I81" s="160"/>
    </row>
    <row r="82" spans="1:9" ht="22.5" x14ac:dyDescent="0.25">
      <c r="A82" s="67" t="s">
        <v>52</v>
      </c>
      <c r="B82" s="53" t="s">
        <v>53</v>
      </c>
      <c r="C82" s="46">
        <v>700</v>
      </c>
      <c r="D82" s="46">
        <v>1</v>
      </c>
      <c r="E82" s="46">
        <v>1</v>
      </c>
      <c r="F82" s="47">
        <f t="shared" si="16"/>
        <v>700</v>
      </c>
      <c r="G82" s="156"/>
      <c r="H82" s="154">
        <f>0.5*D82</f>
        <v>0.5</v>
      </c>
      <c r="I82" s="172"/>
    </row>
    <row r="83" spans="1:9" ht="23.25" thickBot="1" x14ac:dyDescent="0.3">
      <c r="A83" s="67" t="s">
        <v>54</v>
      </c>
      <c r="B83" s="68" t="s">
        <v>55</v>
      </c>
      <c r="C83" s="46">
        <v>400</v>
      </c>
      <c r="D83" s="46">
        <v>5</v>
      </c>
      <c r="E83" s="46">
        <v>1</v>
      </c>
      <c r="F83" s="47">
        <f t="shared" si="16"/>
        <v>2000</v>
      </c>
      <c r="G83" s="156"/>
      <c r="H83" s="154">
        <f>0.1*D83</f>
        <v>0.5</v>
      </c>
      <c r="I83" s="172"/>
    </row>
    <row r="84" spans="1:9" ht="15.75" thickBot="1" x14ac:dyDescent="0.3">
      <c r="A84" s="9" t="s">
        <v>56</v>
      </c>
      <c r="B84" s="10"/>
      <c r="C84" s="11"/>
      <c r="D84" s="11"/>
      <c r="E84" s="11"/>
      <c r="F84" s="12"/>
    </row>
    <row r="85" spans="1:9" ht="22.5" x14ac:dyDescent="0.25">
      <c r="A85" s="67" t="s">
        <v>57</v>
      </c>
      <c r="B85" s="72" t="s">
        <v>122</v>
      </c>
      <c r="C85" s="46">
        <v>5000</v>
      </c>
      <c r="D85" s="46">
        <v>1</v>
      </c>
      <c r="E85" s="46">
        <v>1</v>
      </c>
      <c r="F85" s="47">
        <f t="shared" ref="F85:F86" si="17">C85*D85*E85</f>
        <v>5000</v>
      </c>
      <c r="G85" s="154">
        <f>(30+30*2)</f>
        <v>90</v>
      </c>
      <c r="H85" s="154">
        <f>(8+4*2+7)*D85</f>
        <v>23</v>
      </c>
    </row>
    <row r="86" spans="1:9" ht="15.75" thickBot="1" x14ac:dyDescent="0.3">
      <c r="A86" s="67" t="s">
        <v>317</v>
      </c>
      <c r="B86" s="72" t="s">
        <v>154</v>
      </c>
      <c r="C86" s="46">
        <v>1500</v>
      </c>
      <c r="D86" s="46">
        <v>1</v>
      </c>
      <c r="E86" s="46">
        <v>1</v>
      </c>
      <c r="F86" s="47">
        <f t="shared" si="17"/>
        <v>1500</v>
      </c>
      <c r="G86" s="154">
        <f>100*D86</f>
        <v>100</v>
      </c>
      <c r="H86" s="154">
        <f>3.5*D86</f>
        <v>3.5</v>
      </c>
    </row>
    <row r="87" spans="1:9" ht="15.75" thickBot="1" x14ac:dyDescent="0.3">
      <c r="A87" s="9" t="s">
        <v>58</v>
      </c>
      <c r="B87" s="10"/>
      <c r="C87" s="11"/>
      <c r="D87" s="11"/>
      <c r="E87" s="11"/>
      <c r="F87" s="12"/>
    </row>
    <row r="88" spans="1:9" x14ac:dyDescent="0.25">
      <c r="A88" s="52" t="s">
        <v>59</v>
      </c>
      <c r="B88" s="72" t="s">
        <v>161</v>
      </c>
      <c r="C88" s="46">
        <v>300</v>
      </c>
      <c r="D88" s="46">
        <v>12</v>
      </c>
      <c r="E88" s="46">
        <v>1</v>
      </c>
      <c r="F88" s="47">
        <f>C88*D88*E88</f>
        <v>3600</v>
      </c>
      <c r="G88" s="156"/>
      <c r="H88" s="154">
        <f>2.2*D88+2*D88/4</f>
        <v>32.400000000000006</v>
      </c>
    </row>
    <row r="89" spans="1:9" x14ac:dyDescent="0.25">
      <c r="A89" s="52" t="s">
        <v>59</v>
      </c>
      <c r="B89" s="72" t="s">
        <v>180</v>
      </c>
      <c r="C89" s="46">
        <v>400</v>
      </c>
      <c r="D89" s="46">
        <v>8</v>
      </c>
      <c r="E89" s="46">
        <v>1</v>
      </c>
      <c r="F89" s="47">
        <f t="shared" ref="F89:F114" si="18">C89*D89*E89</f>
        <v>3200</v>
      </c>
      <c r="G89" s="156"/>
      <c r="H89" s="154">
        <f>3.2*D89+2*D89/4</f>
        <v>29.6</v>
      </c>
    </row>
    <row r="90" spans="1:9" ht="22.5" x14ac:dyDescent="0.25">
      <c r="A90" s="78" t="s">
        <v>61</v>
      </c>
      <c r="B90" s="72" t="s">
        <v>162</v>
      </c>
      <c r="C90" s="46">
        <v>300</v>
      </c>
      <c r="D90" s="46">
        <v>6</v>
      </c>
      <c r="E90" s="46">
        <v>1</v>
      </c>
      <c r="F90" s="47">
        <f t="shared" si="18"/>
        <v>1800</v>
      </c>
      <c r="G90" s="156"/>
      <c r="H90" s="154">
        <f>2.1*D90+1.5*D90/4</f>
        <v>14.850000000000001</v>
      </c>
    </row>
    <row r="91" spans="1:9" x14ac:dyDescent="0.25">
      <c r="A91" s="52" t="s">
        <v>62</v>
      </c>
      <c r="B91" s="53" t="s">
        <v>160</v>
      </c>
      <c r="C91" s="46">
        <v>400</v>
      </c>
      <c r="D91" s="46">
        <v>3</v>
      </c>
      <c r="E91" s="46">
        <v>1</v>
      </c>
      <c r="F91" s="47">
        <f t="shared" si="18"/>
        <v>1200</v>
      </c>
      <c r="G91" s="156"/>
      <c r="H91" s="154">
        <f>4.3*D91</f>
        <v>12.899999999999999</v>
      </c>
    </row>
    <row r="92" spans="1:9" x14ac:dyDescent="0.25">
      <c r="A92" s="52" t="s">
        <v>62</v>
      </c>
      <c r="B92" s="53" t="s">
        <v>270</v>
      </c>
      <c r="C92" s="46">
        <v>400</v>
      </c>
      <c r="D92" s="46">
        <v>1</v>
      </c>
      <c r="E92" s="46">
        <v>1</v>
      </c>
      <c r="F92" s="47">
        <f t="shared" si="18"/>
        <v>400</v>
      </c>
      <c r="G92" s="156"/>
      <c r="H92" s="154">
        <f>3.6*D92</f>
        <v>3.6</v>
      </c>
    </row>
    <row r="93" spans="1:9" x14ac:dyDescent="0.25">
      <c r="A93" s="52" t="s">
        <v>157</v>
      </c>
      <c r="B93" s="53" t="s">
        <v>158</v>
      </c>
      <c r="C93" s="46">
        <v>500</v>
      </c>
      <c r="D93" s="46">
        <v>1</v>
      </c>
      <c r="E93" s="46">
        <v>1</v>
      </c>
      <c r="F93" s="47">
        <f t="shared" si="18"/>
        <v>500</v>
      </c>
      <c r="G93" s="156"/>
      <c r="H93" s="154">
        <f>10*D93+1*D93</f>
        <v>11</v>
      </c>
    </row>
    <row r="94" spans="1:9" x14ac:dyDescent="0.25">
      <c r="A94" s="52" t="s">
        <v>157</v>
      </c>
      <c r="B94" s="53" t="s">
        <v>156</v>
      </c>
      <c r="C94" s="46">
        <v>500</v>
      </c>
      <c r="D94" s="46">
        <v>2</v>
      </c>
      <c r="E94" s="46">
        <v>1</v>
      </c>
      <c r="F94" s="47">
        <f t="shared" si="18"/>
        <v>1000</v>
      </c>
      <c r="G94" s="156"/>
      <c r="H94" s="154">
        <f>8.4*D94+0.6*D94</f>
        <v>18</v>
      </c>
    </row>
    <row r="95" spans="1:9" x14ac:dyDescent="0.25">
      <c r="A95" s="52" t="s">
        <v>157</v>
      </c>
      <c r="B95" s="68" t="s">
        <v>159</v>
      </c>
      <c r="C95" s="46">
        <v>500</v>
      </c>
      <c r="D95" s="46">
        <v>1</v>
      </c>
      <c r="E95" s="46">
        <v>1</v>
      </c>
      <c r="F95" s="47">
        <f t="shared" si="18"/>
        <v>500</v>
      </c>
      <c r="G95" s="156"/>
      <c r="H95" s="154">
        <f>9*D95+0.5*D95</f>
        <v>9.5</v>
      </c>
    </row>
    <row r="96" spans="1:9" x14ac:dyDescent="0.25">
      <c r="A96" s="52" t="s">
        <v>212</v>
      </c>
      <c r="B96" s="68" t="s">
        <v>213</v>
      </c>
      <c r="C96" s="46">
        <v>0</v>
      </c>
      <c r="D96" s="46">
        <v>3</v>
      </c>
      <c r="E96" s="46">
        <v>1</v>
      </c>
      <c r="F96" s="47">
        <f t="shared" si="18"/>
        <v>0</v>
      </c>
      <c r="G96" s="156"/>
      <c r="H96" s="154">
        <f>0.5*D96</f>
        <v>1.5</v>
      </c>
    </row>
    <row r="97" spans="1:10" x14ac:dyDescent="0.25">
      <c r="A97" s="67" t="s">
        <v>190</v>
      </c>
      <c r="B97" s="68" t="s">
        <v>165</v>
      </c>
      <c r="C97" s="46">
        <v>200</v>
      </c>
      <c r="D97" s="46">
        <v>4</v>
      </c>
      <c r="E97" s="46">
        <v>1</v>
      </c>
      <c r="F97" s="47">
        <f t="shared" si="18"/>
        <v>800</v>
      </c>
      <c r="G97" s="156"/>
      <c r="H97" s="154">
        <f>5.3*D97</f>
        <v>21.2</v>
      </c>
    </row>
    <row r="98" spans="1:10" ht="22.5" x14ac:dyDescent="0.25">
      <c r="A98" s="67" t="s">
        <v>63</v>
      </c>
      <c r="B98" s="68" t="s">
        <v>204</v>
      </c>
      <c r="C98" s="46">
        <v>200</v>
      </c>
      <c r="D98" s="46">
        <v>5</v>
      </c>
      <c r="E98" s="46">
        <v>1</v>
      </c>
      <c r="F98" s="47">
        <f t="shared" si="18"/>
        <v>1000</v>
      </c>
      <c r="G98" s="156"/>
      <c r="H98" s="154">
        <f>1.8*D98+0.2*D98</f>
        <v>10</v>
      </c>
    </row>
    <row r="99" spans="1:10" x14ac:dyDescent="0.25">
      <c r="A99" s="67" t="s">
        <v>269</v>
      </c>
      <c r="B99" s="68" t="s">
        <v>268</v>
      </c>
      <c r="C99" s="46">
        <v>400</v>
      </c>
      <c r="D99" s="46">
        <v>3</v>
      </c>
      <c r="E99" s="46">
        <v>1</v>
      </c>
      <c r="F99" s="47">
        <f t="shared" si="18"/>
        <v>1200</v>
      </c>
      <c r="G99" s="156"/>
      <c r="H99" s="154">
        <f>3*D99</f>
        <v>9</v>
      </c>
    </row>
    <row r="100" spans="1:10" x14ac:dyDescent="0.25">
      <c r="A100" s="67" t="s">
        <v>238</v>
      </c>
      <c r="B100" s="68" t="s">
        <v>239</v>
      </c>
      <c r="C100" s="46">
        <v>500</v>
      </c>
      <c r="D100" s="46">
        <v>1</v>
      </c>
      <c r="E100" s="46">
        <v>1</v>
      </c>
      <c r="F100" s="47">
        <f>C100*D100*E100</f>
        <v>500</v>
      </c>
      <c r="G100" s="156"/>
      <c r="H100" s="154">
        <f>3.2*D100+0.3*D100</f>
        <v>3.5</v>
      </c>
    </row>
    <row r="101" spans="1:10" x14ac:dyDescent="0.25">
      <c r="A101" s="67" t="s">
        <v>121</v>
      </c>
      <c r="B101" s="68" t="s">
        <v>336</v>
      </c>
      <c r="C101" s="46">
        <v>250</v>
      </c>
      <c r="D101" s="46">
        <v>1</v>
      </c>
      <c r="E101" s="46">
        <v>1</v>
      </c>
      <c r="F101" s="47">
        <f t="shared" si="18"/>
        <v>250</v>
      </c>
      <c r="G101" s="156"/>
    </row>
    <row r="102" spans="1:10" x14ac:dyDescent="0.25">
      <c r="A102" s="67" t="s">
        <v>168</v>
      </c>
      <c r="B102" s="68" t="s">
        <v>169</v>
      </c>
      <c r="C102" s="46">
        <v>500</v>
      </c>
      <c r="D102" s="46">
        <v>5</v>
      </c>
      <c r="E102" s="46">
        <v>1</v>
      </c>
      <c r="F102" s="47">
        <f t="shared" si="18"/>
        <v>2500</v>
      </c>
      <c r="G102" s="156"/>
      <c r="H102" s="154">
        <f>3.2*D102+0.3*D102</f>
        <v>17.5</v>
      </c>
    </row>
    <row r="103" spans="1:10" x14ac:dyDescent="0.25">
      <c r="A103" s="67" t="s">
        <v>274</v>
      </c>
      <c r="B103" s="68" t="s">
        <v>135</v>
      </c>
      <c r="C103" s="46">
        <v>300</v>
      </c>
      <c r="D103" s="46">
        <v>6</v>
      </c>
      <c r="E103" s="46">
        <v>1</v>
      </c>
      <c r="F103" s="47">
        <f t="shared" si="18"/>
        <v>1800</v>
      </c>
      <c r="G103" s="156"/>
    </row>
    <row r="104" spans="1:10" x14ac:dyDescent="0.25">
      <c r="A104" s="67" t="s">
        <v>282</v>
      </c>
      <c r="B104" s="68" t="s">
        <v>275</v>
      </c>
      <c r="C104" s="46">
        <v>300</v>
      </c>
      <c r="D104" s="46">
        <v>3</v>
      </c>
      <c r="E104" s="46">
        <v>1</v>
      </c>
      <c r="F104" s="47">
        <f t="shared" si="18"/>
        <v>900</v>
      </c>
      <c r="G104" s="156"/>
      <c r="J104" s="172"/>
    </row>
    <row r="105" spans="1:10" x14ac:dyDescent="0.25">
      <c r="A105" s="67" t="s">
        <v>243</v>
      </c>
      <c r="B105" s="68" t="s">
        <v>244</v>
      </c>
      <c r="C105" s="46">
        <v>0</v>
      </c>
      <c r="D105" s="46">
        <v>2</v>
      </c>
      <c r="E105" s="46">
        <v>1</v>
      </c>
      <c r="F105" s="47">
        <f t="shared" si="18"/>
        <v>0</v>
      </c>
      <c r="G105" s="156"/>
      <c r="H105" s="154">
        <f>1*D105</f>
        <v>2</v>
      </c>
    </row>
    <row r="106" spans="1:10" x14ac:dyDescent="0.25">
      <c r="A106" s="67" t="s">
        <v>353</v>
      </c>
      <c r="B106" s="68" t="s">
        <v>352</v>
      </c>
      <c r="C106" s="46">
        <v>300</v>
      </c>
      <c r="D106" s="46">
        <v>1</v>
      </c>
      <c r="E106" s="46">
        <v>1</v>
      </c>
      <c r="F106" s="47">
        <f t="shared" si="18"/>
        <v>300</v>
      </c>
      <c r="G106" s="156"/>
    </row>
    <row r="107" spans="1:10" x14ac:dyDescent="0.25">
      <c r="A107" s="67" t="s">
        <v>164</v>
      </c>
      <c r="B107" s="68" t="s">
        <v>163</v>
      </c>
      <c r="C107" s="46">
        <v>100</v>
      </c>
      <c r="D107" s="46">
        <v>4</v>
      </c>
      <c r="E107" s="46">
        <v>1</v>
      </c>
      <c r="F107" s="47">
        <f t="shared" si="18"/>
        <v>400</v>
      </c>
      <c r="G107" s="156"/>
      <c r="H107" s="154">
        <f>2.8*D107+0.3*D107</f>
        <v>12.399999999999999</v>
      </c>
    </row>
    <row r="108" spans="1:10" x14ac:dyDescent="0.25">
      <c r="A108" s="67" t="s">
        <v>231</v>
      </c>
      <c r="B108" s="68" t="s">
        <v>233</v>
      </c>
      <c r="C108" s="46">
        <v>100</v>
      </c>
      <c r="D108" s="46">
        <v>2</v>
      </c>
      <c r="E108" s="46">
        <v>1</v>
      </c>
      <c r="F108" s="47">
        <f t="shared" si="18"/>
        <v>200</v>
      </c>
      <c r="G108" s="156"/>
      <c r="H108" s="154">
        <f>3.5*D108+0.1*D108</f>
        <v>7.2</v>
      </c>
    </row>
    <row r="109" spans="1:10" x14ac:dyDescent="0.25">
      <c r="A109" s="67" t="s">
        <v>281</v>
      </c>
      <c r="B109" s="68" t="s">
        <v>283</v>
      </c>
      <c r="C109" s="46">
        <v>500</v>
      </c>
      <c r="D109" s="46">
        <v>1</v>
      </c>
      <c r="E109" s="46">
        <v>1</v>
      </c>
      <c r="F109" s="47">
        <f t="shared" ref="F109" si="19">C109*D109*E109</f>
        <v>500</v>
      </c>
      <c r="G109" s="156"/>
      <c r="H109" s="154">
        <f>5*D109</f>
        <v>5</v>
      </c>
    </row>
    <row r="110" spans="1:10" x14ac:dyDescent="0.25">
      <c r="A110" s="67" t="s">
        <v>171</v>
      </c>
      <c r="B110" s="68" t="s">
        <v>170</v>
      </c>
      <c r="C110" s="46">
        <v>500</v>
      </c>
      <c r="D110" s="46">
        <v>1</v>
      </c>
      <c r="E110" s="46">
        <v>1</v>
      </c>
      <c r="F110" s="47">
        <f t="shared" si="18"/>
        <v>500</v>
      </c>
      <c r="G110" s="156"/>
      <c r="H110" s="154">
        <f>5*D110+0.5*D110</f>
        <v>5.5</v>
      </c>
    </row>
    <row r="111" spans="1:10" x14ac:dyDescent="0.25">
      <c r="A111" s="67" t="s">
        <v>64</v>
      </c>
      <c r="B111" s="68" t="s">
        <v>65</v>
      </c>
      <c r="C111" s="46">
        <v>40</v>
      </c>
      <c r="D111" s="46">
        <v>25</v>
      </c>
      <c r="E111" s="46">
        <v>1</v>
      </c>
      <c r="F111" s="47">
        <f t="shared" si="18"/>
        <v>1000</v>
      </c>
      <c r="G111" s="156"/>
    </row>
    <row r="112" spans="1:10" x14ac:dyDescent="0.25">
      <c r="A112" s="67" t="s">
        <v>64</v>
      </c>
      <c r="B112" s="68" t="s">
        <v>66</v>
      </c>
      <c r="C112" s="46">
        <v>40</v>
      </c>
      <c r="D112" s="46">
        <v>90</v>
      </c>
      <c r="E112" s="46">
        <v>1</v>
      </c>
      <c r="F112" s="47">
        <f t="shared" si="18"/>
        <v>3600</v>
      </c>
      <c r="G112" s="156"/>
    </row>
    <row r="113" spans="1:8" x14ac:dyDescent="0.25">
      <c r="A113" s="67" t="s">
        <v>64</v>
      </c>
      <c r="B113" s="49" t="s">
        <v>67</v>
      </c>
      <c r="C113" s="50">
        <v>40</v>
      </c>
      <c r="D113" s="50">
        <v>50</v>
      </c>
      <c r="E113" s="46">
        <v>1</v>
      </c>
      <c r="F113" s="47">
        <f t="shared" si="18"/>
        <v>2000</v>
      </c>
      <c r="G113" s="156"/>
    </row>
    <row r="114" spans="1:8" x14ac:dyDescent="0.25">
      <c r="A114" s="79" t="s">
        <v>166</v>
      </c>
      <c r="B114" s="80" t="s">
        <v>68</v>
      </c>
      <c r="C114" s="81">
        <v>250</v>
      </c>
      <c r="D114" s="81">
        <v>15</v>
      </c>
      <c r="E114" s="46">
        <v>1</v>
      </c>
      <c r="F114" s="47">
        <f t="shared" si="18"/>
        <v>3750</v>
      </c>
      <c r="G114" s="156"/>
      <c r="H114" s="154">
        <f>8.1*D114</f>
        <v>121.5</v>
      </c>
    </row>
    <row r="115" spans="1:8" x14ac:dyDescent="0.25">
      <c r="A115" s="79" t="s">
        <v>280</v>
      </c>
      <c r="B115" s="80" t="s">
        <v>234</v>
      </c>
      <c r="C115" s="81">
        <v>250</v>
      </c>
      <c r="D115" s="81">
        <v>2</v>
      </c>
      <c r="E115" s="46">
        <v>1</v>
      </c>
      <c r="F115" s="47">
        <f t="shared" ref="F115" si="20">C115*D115*E115</f>
        <v>500</v>
      </c>
      <c r="G115" s="156"/>
      <c r="H115" s="154">
        <f>0.25*D115</f>
        <v>0.5</v>
      </c>
    </row>
    <row r="116" spans="1:8" x14ac:dyDescent="0.25">
      <c r="A116" s="79" t="s">
        <v>315</v>
      </c>
      <c r="B116" s="80" t="s">
        <v>316</v>
      </c>
      <c r="C116" s="81">
        <v>700</v>
      </c>
      <c r="D116" s="81">
        <v>2</v>
      </c>
      <c r="E116" s="46">
        <v>1</v>
      </c>
      <c r="F116" s="47">
        <f t="shared" ref="F116:F119" si="21">C116*D116*E116</f>
        <v>1400</v>
      </c>
      <c r="G116" s="156"/>
    </row>
    <row r="117" spans="1:8" x14ac:dyDescent="0.25">
      <c r="A117" s="79" t="s">
        <v>338</v>
      </c>
      <c r="B117" s="80" t="s">
        <v>337</v>
      </c>
      <c r="C117" s="81">
        <v>500</v>
      </c>
      <c r="D117" s="81">
        <v>1</v>
      </c>
      <c r="E117" s="46">
        <v>1</v>
      </c>
      <c r="F117" s="47">
        <f t="shared" si="21"/>
        <v>500</v>
      </c>
      <c r="G117" s="156"/>
      <c r="H117" s="154">
        <v>0.2</v>
      </c>
    </row>
    <row r="118" spans="1:8" x14ac:dyDescent="0.25">
      <c r="A118" s="79" t="s">
        <v>312</v>
      </c>
      <c r="B118" s="80" t="s">
        <v>313</v>
      </c>
      <c r="C118" s="81">
        <v>100</v>
      </c>
      <c r="D118" s="81">
        <v>2</v>
      </c>
      <c r="E118" s="46">
        <v>1</v>
      </c>
      <c r="F118" s="47">
        <f t="shared" si="21"/>
        <v>200</v>
      </c>
      <c r="G118" s="156"/>
    </row>
    <row r="119" spans="1:8" x14ac:dyDescent="0.25">
      <c r="A119" s="79" t="s">
        <v>312</v>
      </c>
      <c r="B119" s="80" t="s">
        <v>314</v>
      </c>
      <c r="C119" s="81">
        <v>500</v>
      </c>
      <c r="D119" s="81">
        <v>1</v>
      </c>
      <c r="E119" s="46">
        <v>1</v>
      </c>
      <c r="F119" s="47">
        <f t="shared" si="21"/>
        <v>500</v>
      </c>
      <c r="G119" s="156"/>
    </row>
    <row r="120" spans="1:8" x14ac:dyDescent="0.25">
      <c r="A120" s="79" t="s">
        <v>214</v>
      </c>
      <c r="B120" s="80" t="s">
        <v>215</v>
      </c>
      <c r="C120" s="81">
        <v>100</v>
      </c>
      <c r="D120" s="81">
        <v>3</v>
      </c>
      <c r="E120" s="46">
        <v>1</v>
      </c>
      <c r="F120" s="47">
        <f t="shared" ref="F120" si="22">C120*D120*E120</f>
        <v>300</v>
      </c>
      <c r="G120" s="156"/>
      <c r="H120" s="154">
        <f>5*D120</f>
        <v>15</v>
      </c>
    </row>
    <row r="121" spans="1:8" ht="15.75" thickBot="1" x14ac:dyDescent="0.3">
      <c r="A121" s="103" t="s">
        <v>71</v>
      </c>
      <c r="B121" s="104"/>
      <c r="C121" s="105"/>
      <c r="D121" s="105"/>
      <c r="E121" s="105"/>
      <c r="F121" s="106">
        <f>SUM(F13:F120)</f>
        <v>432150</v>
      </c>
    </row>
    <row r="122" spans="1:8" x14ac:dyDescent="0.25">
      <c r="A122" s="13" t="s">
        <v>72</v>
      </c>
      <c r="B122" s="14"/>
      <c r="C122" s="14"/>
      <c r="D122" s="14"/>
      <c r="E122" s="14"/>
      <c r="F122" s="15"/>
    </row>
    <row r="123" spans="1:8" ht="45.75" thickBot="1" x14ac:dyDescent="0.3">
      <c r="A123" s="82" t="s">
        <v>0</v>
      </c>
      <c r="B123" s="83" t="s">
        <v>1</v>
      </c>
      <c r="C123" s="40" t="s">
        <v>2</v>
      </c>
      <c r="D123" s="41" t="s">
        <v>3</v>
      </c>
      <c r="E123" s="125" t="s">
        <v>203</v>
      </c>
      <c r="F123" s="42" t="s">
        <v>191</v>
      </c>
    </row>
    <row r="124" spans="1:8" ht="15.75" thickBot="1" x14ac:dyDescent="0.3">
      <c r="A124" s="9" t="s">
        <v>73</v>
      </c>
      <c r="B124" s="10"/>
      <c r="C124" s="11"/>
      <c r="D124" s="11"/>
      <c r="E124" s="11"/>
      <c r="F124" s="12"/>
    </row>
    <row r="125" spans="1:8" x14ac:dyDescent="0.25">
      <c r="A125" s="44" t="s">
        <v>74</v>
      </c>
      <c r="B125" s="45" t="s">
        <v>150</v>
      </c>
      <c r="C125" s="46">
        <v>1500</v>
      </c>
      <c r="D125" s="46">
        <v>4</v>
      </c>
      <c r="E125" s="46">
        <v>1</v>
      </c>
      <c r="F125" s="47">
        <f>C125*D125*E125</f>
        <v>6000</v>
      </c>
      <c r="G125" s="154">
        <f>800*D125</f>
        <v>3200</v>
      </c>
      <c r="H125" s="154">
        <f>22*D125+8*D125</f>
        <v>120</v>
      </c>
    </row>
    <row r="126" spans="1:8" x14ac:dyDescent="0.25">
      <c r="A126" s="44" t="s">
        <v>289</v>
      </c>
      <c r="B126" s="45" t="s">
        <v>252</v>
      </c>
      <c r="C126" s="46">
        <v>2500</v>
      </c>
      <c r="D126" s="46">
        <v>20</v>
      </c>
      <c r="E126" s="46">
        <v>1</v>
      </c>
      <c r="F126" s="47">
        <f>C126*D126*E126</f>
        <v>50000</v>
      </c>
      <c r="G126" s="154">
        <f>470*D126</f>
        <v>9400</v>
      </c>
      <c r="H126" s="154">
        <f>15*D126+7*D126/2</f>
        <v>370</v>
      </c>
    </row>
    <row r="127" spans="1:8" ht="15.75" thickBot="1" x14ac:dyDescent="0.3">
      <c r="A127" s="44" t="s">
        <v>290</v>
      </c>
      <c r="B127" s="84" t="s">
        <v>292</v>
      </c>
      <c r="C127" s="120">
        <v>2000</v>
      </c>
      <c r="D127" s="46">
        <v>16</v>
      </c>
      <c r="E127" s="46">
        <v>1</v>
      </c>
      <c r="F127" s="47">
        <f>C127*D127*E127</f>
        <v>32000</v>
      </c>
      <c r="G127" s="154">
        <f>250*D127</f>
        <v>4000</v>
      </c>
      <c r="H127" s="154">
        <f>10*D127+10*D127/4</f>
        <v>200</v>
      </c>
    </row>
    <row r="128" spans="1:8" ht="15.75" thickBot="1" x14ac:dyDescent="0.3">
      <c r="A128" s="9" t="s">
        <v>75</v>
      </c>
      <c r="B128" s="10"/>
      <c r="C128" s="11"/>
      <c r="D128" s="11"/>
      <c r="E128" s="11"/>
      <c r="F128" s="12"/>
    </row>
    <row r="129" spans="1:8" ht="15.75" thickBot="1" x14ac:dyDescent="0.3">
      <c r="A129" s="48" t="s">
        <v>128</v>
      </c>
      <c r="B129" s="49" t="s">
        <v>284</v>
      </c>
      <c r="C129" s="50">
        <v>3000</v>
      </c>
      <c r="D129" s="50">
        <v>1</v>
      </c>
      <c r="E129" s="50">
        <v>1</v>
      </c>
      <c r="F129" s="51">
        <f>C129*D129*E129</f>
        <v>3000</v>
      </c>
      <c r="G129" s="154">
        <f>450*D129</f>
        <v>450</v>
      </c>
      <c r="H129" s="154">
        <f>14*D129+10*D129</f>
        <v>24</v>
      </c>
    </row>
    <row r="130" spans="1:8" ht="15.75" thickBot="1" x14ac:dyDescent="0.3">
      <c r="A130" s="30" t="s">
        <v>77</v>
      </c>
      <c r="B130" s="31"/>
      <c r="C130" s="32"/>
      <c r="D130" s="32"/>
      <c r="E130" s="32"/>
      <c r="F130" s="29"/>
    </row>
    <row r="131" spans="1:8" x14ac:dyDescent="0.25">
      <c r="A131" s="85" t="s">
        <v>132</v>
      </c>
      <c r="B131" s="86" t="s">
        <v>76</v>
      </c>
      <c r="C131" s="87">
        <v>2000</v>
      </c>
      <c r="D131" s="87">
        <v>1</v>
      </c>
      <c r="E131" s="87">
        <v>1</v>
      </c>
      <c r="F131" s="88">
        <f>C131*D131*E131</f>
        <v>2000</v>
      </c>
      <c r="G131" s="154">
        <f>1650*D131</f>
        <v>1650</v>
      </c>
      <c r="H131" s="154">
        <f>13*D131</f>
        <v>13</v>
      </c>
    </row>
    <row r="132" spans="1:8" x14ac:dyDescent="0.25">
      <c r="A132" s="52" t="s">
        <v>133</v>
      </c>
      <c r="B132" s="53" t="s">
        <v>134</v>
      </c>
      <c r="C132" s="54">
        <v>2000</v>
      </c>
      <c r="D132" s="54">
        <v>1</v>
      </c>
      <c r="E132" s="54">
        <v>1</v>
      </c>
      <c r="F132" s="59">
        <f>C132*D132*E132</f>
        <v>2000</v>
      </c>
      <c r="G132" s="154">
        <f>640*D132</f>
        <v>640</v>
      </c>
      <c r="H132" s="154">
        <f>12*D132+5*D132</f>
        <v>17</v>
      </c>
    </row>
    <row r="133" spans="1:8" ht="15.75" thickBot="1" x14ac:dyDescent="0.3">
      <c r="A133" s="181" t="s">
        <v>350</v>
      </c>
      <c r="B133" s="163" t="s">
        <v>351</v>
      </c>
      <c r="C133" s="75">
        <v>2000</v>
      </c>
      <c r="D133" s="75">
        <v>1</v>
      </c>
      <c r="E133" s="75">
        <v>1</v>
      </c>
      <c r="F133" s="128">
        <f>C133*D133*E133</f>
        <v>2000</v>
      </c>
    </row>
    <row r="134" spans="1:8" ht="15.75" thickBot="1" x14ac:dyDescent="0.3">
      <c r="A134" s="17" t="s">
        <v>78</v>
      </c>
      <c r="B134" s="18"/>
      <c r="C134" s="19"/>
      <c r="D134" s="19"/>
      <c r="E134" s="19"/>
      <c r="F134" s="20"/>
    </row>
    <row r="135" spans="1:8" x14ac:dyDescent="0.25">
      <c r="A135" s="52" t="s">
        <v>78</v>
      </c>
      <c r="B135" s="53" t="s">
        <v>80</v>
      </c>
      <c r="C135" s="54">
        <v>1000</v>
      </c>
      <c r="D135" s="54">
        <v>2</v>
      </c>
      <c r="E135" s="54">
        <v>1</v>
      </c>
      <c r="F135" s="59">
        <f>C135*D135*E135</f>
        <v>2000</v>
      </c>
      <c r="G135" s="154">
        <f>1500*D135</f>
        <v>3000</v>
      </c>
      <c r="H135" s="154">
        <f>4.4*D135</f>
        <v>8.8000000000000007</v>
      </c>
    </row>
    <row r="136" spans="1:8" ht="15.75" thickBot="1" x14ac:dyDescent="0.3">
      <c r="A136" s="52" t="s">
        <v>79</v>
      </c>
      <c r="B136" s="53" t="s">
        <v>81</v>
      </c>
      <c r="C136" s="54">
        <v>500</v>
      </c>
      <c r="D136" s="54">
        <v>1</v>
      </c>
      <c r="E136" s="54">
        <v>1</v>
      </c>
      <c r="F136" s="59">
        <f>C136*D136*E136</f>
        <v>500</v>
      </c>
      <c r="G136" s="154">
        <f>60*D136</f>
        <v>60</v>
      </c>
      <c r="H136" s="154">
        <f>2.8*D136</f>
        <v>2.8</v>
      </c>
    </row>
    <row r="137" spans="1:8" ht="15.75" thickBot="1" x14ac:dyDescent="0.3">
      <c r="A137" s="9" t="s">
        <v>82</v>
      </c>
      <c r="B137" s="10"/>
      <c r="C137" s="11"/>
      <c r="D137" s="11"/>
      <c r="E137" s="11"/>
      <c r="F137" s="12"/>
    </row>
    <row r="138" spans="1:8" ht="15.75" thickBot="1" x14ac:dyDescent="0.3">
      <c r="A138" s="60" t="s">
        <v>84</v>
      </c>
      <c r="B138" s="53" t="s">
        <v>85</v>
      </c>
      <c r="C138" s="54">
        <v>500</v>
      </c>
      <c r="D138" s="54">
        <v>10</v>
      </c>
      <c r="E138" s="54">
        <v>1</v>
      </c>
      <c r="F138" s="47">
        <f>C138*D138*E138</f>
        <v>5000</v>
      </c>
      <c r="G138" s="154">
        <f>300*D138</f>
        <v>3000</v>
      </c>
      <c r="H138" s="154">
        <f>2*D138</f>
        <v>20</v>
      </c>
    </row>
    <row r="139" spans="1:8" ht="15.75" thickBot="1" x14ac:dyDescent="0.3">
      <c r="A139" s="9" t="s">
        <v>83</v>
      </c>
      <c r="B139" s="10"/>
      <c r="C139" s="11"/>
      <c r="D139" s="11"/>
      <c r="E139" s="11"/>
      <c r="F139" s="12"/>
    </row>
    <row r="140" spans="1:8" x14ac:dyDescent="0.25">
      <c r="A140" s="60" t="s">
        <v>294</v>
      </c>
      <c r="B140" s="61" t="s">
        <v>293</v>
      </c>
      <c r="C140" s="62">
        <v>500</v>
      </c>
      <c r="D140" s="62">
        <v>10</v>
      </c>
      <c r="E140" s="62">
        <v>1</v>
      </c>
      <c r="F140" s="47">
        <f>C140*D140*E140</f>
        <v>5000</v>
      </c>
    </row>
    <row r="141" spans="1:8" ht="15" customHeight="1" x14ac:dyDescent="0.25">
      <c r="A141" s="60" t="s">
        <v>88</v>
      </c>
      <c r="B141" s="61" t="s">
        <v>89</v>
      </c>
      <c r="C141" s="62">
        <v>1000</v>
      </c>
      <c r="D141" s="62">
        <v>14</v>
      </c>
      <c r="E141" s="62">
        <v>1</v>
      </c>
      <c r="F141" s="47">
        <f>C141*D141*E141</f>
        <v>14000</v>
      </c>
      <c r="G141" s="154">
        <f>145*D141</f>
        <v>2030</v>
      </c>
      <c r="H141" s="154">
        <f>3*D141+1*D141/2</f>
        <v>49</v>
      </c>
    </row>
    <row r="142" spans="1:8" ht="15.75" thickBot="1" x14ac:dyDescent="0.3">
      <c r="A142" s="60" t="s">
        <v>87</v>
      </c>
      <c r="B142" s="53" t="s">
        <v>86</v>
      </c>
      <c r="C142" s="54">
        <v>1000</v>
      </c>
      <c r="D142" s="54">
        <v>12</v>
      </c>
      <c r="E142" s="54">
        <v>1</v>
      </c>
      <c r="F142" s="47">
        <f>C142*D142*E142</f>
        <v>12000</v>
      </c>
      <c r="G142" s="154">
        <f>80*D142</f>
        <v>960</v>
      </c>
      <c r="H142" s="154">
        <f>7.5*D142</f>
        <v>90</v>
      </c>
    </row>
    <row r="143" spans="1:8" ht="15.75" thickBot="1" x14ac:dyDescent="0.3">
      <c r="A143" s="9" t="s">
        <v>90</v>
      </c>
      <c r="B143" s="10"/>
      <c r="C143" s="11"/>
      <c r="D143" s="11"/>
      <c r="E143" s="11"/>
      <c r="F143" s="12"/>
    </row>
    <row r="144" spans="1:8" ht="15.75" thickBot="1" x14ac:dyDescent="0.3">
      <c r="A144" s="60" t="s">
        <v>92</v>
      </c>
      <c r="B144" s="53" t="s">
        <v>91</v>
      </c>
      <c r="C144" s="54">
        <v>1000</v>
      </c>
      <c r="D144" s="54">
        <v>2</v>
      </c>
      <c r="E144" s="54">
        <v>1</v>
      </c>
      <c r="F144" s="47">
        <f>C144*D144*E144</f>
        <v>2000</v>
      </c>
      <c r="G144" s="154">
        <f>300*D144</f>
        <v>600</v>
      </c>
      <c r="H144" s="154">
        <f>8.5*D144</f>
        <v>17</v>
      </c>
    </row>
    <row r="145" spans="1:8" ht="15.75" thickBot="1" x14ac:dyDescent="0.3">
      <c r="A145" s="16" t="s">
        <v>93</v>
      </c>
      <c r="B145" s="10"/>
      <c r="C145" s="11"/>
      <c r="D145" s="11"/>
      <c r="E145" s="11"/>
      <c r="F145" s="12"/>
    </row>
    <row r="146" spans="1:8" x14ac:dyDescent="0.25">
      <c r="A146" s="60" t="s">
        <v>94</v>
      </c>
      <c r="B146" s="53" t="s">
        <v>235</v>
      </c>
      <c r="C146" s="54">
        <v>1500</v>
      </c>
      <c r="D146" s="54">
        <v>1</v>
      </c>
      <c r="E146" s="54">
        <v>1</v>
      </c>
      <c r="F146" s="47">
        <f>C146*D146*E146</f>
        <v>1500</v>
      </c>
      <c r="G146" s="154">
        <f>100*D146</f>
        <v>100</v>
      </c>
      <c r="H146" s="154">
        <f>5*D146</f>
        <v>5</v>
      </c>
    </row>
    <row r="147" spans="1:8" x14ac:dyDescent="0.25">
      <c r="A147" s="60" t="s">
        <v>94</v>
      </c>
      <c r="B147" s="53" t="s">
        <v>309</v>
      </c>
      <c r="C147" s="54">
        <v>2000</v>
      </c>
      <c r="D147" s="54">
        <v>1</v>
      </c>
      <c r="E147" s="54">
        <v>1</v>
      </c>
      <c r="F147" s="47">
        <f>C147*D147*E147</f>
        <v>2000</v>
      </c>
      <c r="G147" s="154">
        <f>100*D147</f>
        <v>100</v>
      </c>
      <c r="H147" s="154">
        <f>5*D147</f>
        <v>5</v>
      </c>
    </row>
    <row r="148" spans="1:8" x14ac:dyDescent="0.25">
      <c r="A148" s="60" t="s">
        <v>94</v>
      </c>
      <c r="B148" s="53" t="s">
        <v>310</v>
      </c>
      <c r="C148" s="54">
        <v>2500</v>
      </c>
      <c r="D148" s="54">
        <v>1</v>
      </c>
      <c r="E148" s="54">
        <v>1</v>
      </c>
      <c r="F148" s="47">
        <f>C148*D148*E148</f>
        <v>2500</v>
      </c>
    </row>
    <row r="149" spans="1:8" ht="15.75" thickBot="1" x14ac:dyDescent="0.3">
      <c r="A149" s="60" t="s">
        <v>297</v>
      </c>
      <c r="B149" s="53" t="s">
        <v>298</v>
      </c>
      <c r="C149" s="54">
        <v>1000</v>
      </c>
      <c r="D149" s="54">
        <v>1</v>
      </c>
      <c r="E149" s="54">
        <v>1</v>
      </c>
      <c r="F149" s="47">
        <f>C149*D149*E149</f>
        <v>1000</v>
      </c>
    </row>
    <row r="150" spans="1:8" ht="15.75" customHeight="1" thickBot="1" x14ac:dyDescent="0.3">
      <c r="A150" s="9" t="s">
        <v>95</v>
      </c>
      <c r="B150" s="10"/>
      <c r="C150" s="11"/>
      <c r="D150" s="11"/>
      <c r="E150" s="11"/>
      <c r="F150" s="12"/>
    </row>
    <row r="151" spans="1:8" x14ac:dyDescent="0.25">
      <c r="A151" s="89" t="s">
        <v>96</v>
      </c>
      <c r="B151" s="90" t="s">
        <v>97</v>
      </c>
      <c r="C151" s="91">
        <v>500</v>
      </c>
      <c r="D151" s="91">
        <v>6</v>
      </c>
      <c r="E151" s="91">
        <v>1</v>
      </c>
      <c r="F151" s="129">
        <f>C151*D151*E151</f>
        <v>3000</v>
      </c>
      <c r="G151" s="156"/>
      <c r="H151" s="154">
        <f>8.5*D151</f>
        <v>51</v>
      </c>
    </row>
    <row r="152" spans="1:8" x14ac:dyDescent="0.25">
      <c r="A152" s="60" t="s">
        <v>99</v>
      </c>
      <c r="B152" s="61" t="s">
        <v>98</v>
      </c>
      <c r="C152" s="62">
        <v>200</v>
      </c>
      <c r="D152" s="62">
        <v>4</v>
      </c>
      <c r="E152" s="124">
        <v>1</v>
      </c>
      <c r="F152" s="92">
        <f t="shared" ref="F152:F171" si="23">C152*D152*E152</f>
        <v>800</v>
      </c>
      <c r="G152" s="156"/>
      <c r="H152" s="154">
        <f>4*D152</f>
        <v>16</v>
      </c>
    </row>
    <row r="153" spans="1:8" x14ac:dyDescent="0.25">
      <c r="A153" s="60" t="s">
        <v>199</v>
      </c>
      <c r="B153" s="61" t="s">
        <v>167</v>
      </c>
      <c r="C153" s="62">
        <v>100</v>
      </c>
      <c r="D153" s="62">
        <v>8</v>
      </c>
      <c r="E153" s="124">
        <v>1</v>
      </c>
      <c r="F153" s="92">
        <f t="shared" si="23"/>
        <v>800</v>
      </c>
      <c r="G153" s="156"/>
      <c r="H153" s="154">
        <f>0.5*D153</f>
        <v>4</v>
      </c>
    </row>
    <row r="154" spans="1:8" x14ac:dyDescent="0.25">
      <c r="A154" s="60" t="s">
        <v>198</v>
      </c>
      <c r="B154" s="61" t="s">
        <v>60</v>
      </c>
      <c r="C154" s="62">
        <v>0</v>
      </c>
      <c r="D154" s="62">
        <v>4</v>
      </c>
      <c r="E154" s="124">
        <v>1</v>
      </c>
      <c r="F154" s="92">
        <f t="shared" si="23"/>
        <v>0</v>
      </c>
      <c r="G154" s="156"/>
      <c r="H154" s="154">
        <f>1.5*D154</f>
        <v>6</v>
      </c>
    </row>
    <row r="155" spans="1:8" x14ac:dyDescent="0.25">
      <c r="A155" s="60" t="s">
        <v>200</v>
      </c>
      <c r="B155" s="61" t="s">
        <v>201</v>
      </c>
      <c r="C155" s="62">
        <v>0</v>
      </c>
      <c r="D155" s="62">
        <v>20</v>
      </c>
      <c r="E155" s="124">
        <v>1</v>
      </c>
      <c r="F155" s="92">
        <f t="shared" si="23"/>
        <v>0</v>
      </c>
      <c r="G155" s="156"/>
      <c r="H155" s="154">
        <f>0.1*D155</f>
        <v>2</v>
      </c>
    </row>
    <row r="156" spans="1:8" x14ac:dyDescent="0.25">
      <c r="A156" s="60" t="s">
        <v>256</v>
      </c>
      <c r="B156" s="61" t="s">
        <v>257</v>
      </c>
      <c r="C156" s="62">
        <v>1000</v>
      </c>
      <c r="D156" s="62">
        <v>4</v>
      </c>
      <c r="E156" s="124">
        <v>1</v>
      </c>
      <c r="F156" s="92">
        <f t="shared" ref="F156" si="24">C156*D156*E156</f>
        <v>4000</v>
      </c>
      <c r="G156" s="156"/>
      <c r="H156" s="154">
        <f>18*D156</f>
        <v>72</v>
      </c>
    </row>
    <row r="157" spans="1:8" x14ac:dyDescent="0.25">
      <c r="A157" s="60" t="s">
        <v>100</v>
      </c>
      <c r="B157" s="53" t="s">
        <v>101</v>
      </c>
      <c r="C157" s="54">
        <v>1500</v>
      </c>
      <c r="D157" s="54">
        <v>4</v>
      </c>
      <c r="E157" s="124">
        <v>1</v>
      </c>
      <c r="F157" s="92">
        <f t="shared" si="23"/>
        <v>6000</v>
      </c>
      <c r="G157" s="156"/>
      <c r="H157" s="154">
        <f>28*D157</f>
        <v>112</v>
      </c>
    </row>
    <row r="158" spans="1:8" x14ac:dyDescent="0.25">
      <c r="A158" s="60" t="s">
        <v>263</v>
      </c>
      <c r="B158" s="53" t="s">
        <v>261</v>
      </c>
      <c r="C158" s="54">
        <v>400</v>
      </c>
      <c r="D158" s="54">
        <v>4</v>
      </c>
      <c r="E158" s="124">
        <v>1</v>
      </c>
      <c r="F158" s="92">
        <f t="shared" si="23"/>
        <v>1600</v>
      </c>
      <c r="G158" s="156"/>
      <c r="H158" s="154">
        <f>5*D158</f>
        <v>20</v>
      </c>
    </row>
    <row r="159" spans="1:8" x14ac:dyDescent="0.25">
      <c r="A159" s="60" t="s">
        <v>264</v>
      </c>
      <c r="B159" s="53" t="s">
        <v>262</v>
      </c>
      <c r="C159" s="54">
        <v>800</v>
      </c>
      <c r="D159" s="54">
        <v>20</v>
      </c>
      <c r="E159" s="124">
        <v>1</v>
      </c>
      <c r="F159" s="92">
        <f t="shared" ref="F159" si="25">C159*D159*E159</f>
        <v>16000</v>
      </c>
      <c r="G159" s="156"/>
      <c r="H159" s="154">
        <f>10*D159</f>
        <v>200</v>
      </c>
    </row>
    <row r="160" spans="1:8" x14ac:dyDescent="0.25">
      <c r="A160" s="60" t="s">
        <v>260</v>
      </c>
      <c r="B160" s="53" t="s">
        <v>218</v>
      </c>
      <c r="C160" s="54">
        <v>500</v>
      </c>
      <c r="D160" s="54">
        <v>4</v>
      </c>
      <c r="E160" s="124">
        <v>1</v>
      </c>
      <c r="F160" s="92">
        <f t="shared" si="23"/>
        <v>2000</v>
      </c>
      <c r="G160" s="156"/>
      <c r="H160" s="154">
        <f>5*D160</f>
        <v>20</v>
      </c>
    </row>
    <row r="161" spans="1:8" x14ac:dyDescent="0.25">
      <c r="A161" s="60" t="s">
        <v>219</v>
      </c>
      <c r="B161" s="53" t="s">
        <v>271</v>
      </c>
      <c r="C161" s="54">
        <v>1500</v>
      </c>
      <c r="D161" s="54">
        <v>8</v>
      </c>
      <c r="E161" s="124">
        <v>1</v>
      </c>
      <c r="F161" s="92">
        <f t="shared" si="23"/>
        <v>12000</v>
      </c>
      <c r="G161" s="156"/>
      <c r="H161" s="154">
        <f>(35+10)*D161</f>
        <v>360</v>
      </c>
    </row>
    <row r="162" spans="1:8" x14ac:dyDescent="0.25">
      <c r="A162" s="60" t="s">
        <v>301</v>
      </c>
      <c r="B162" s="53" t="s">
        <v>302</v>
      </c>
      <c r="C162" s="54">
        <v>2000</v>
      </c>
      <c r="D162" s="54">
        <v>4</v>
      </c>
      <c r="E162" s="124">
        <v>1</v>
      </c>
      <c r="F162" s="92">
        <f t="shared" ref="F162" si="26">C162*D162*E162</f>
        <v>8000</v>
      </c>
      <c r="G162" s="156"/>
      <c r="H162" s="154">
        <f>50*D162</f>
        <v>200</v>
      </c>
    </row>
    <row r="163" spans="1:8" x14ac:dyDescent="0.25">
      <c r="A163" s="60" t="s">
        <v>131</v>
      </c>
      <c r="B163" s="53" t="s">
        <v>267</v>
      </c>
      <c r="C163" s="54">
        <v>1000</v>
      </c>
      <c r="D163" s="54">
        <v>2</v>
      </c>
      <c r="E163" s="124">
        <v>1</v>
      </c>
      <c r="F163" s="92">
        <f t="shared" si="23"/>
        <v>2000</v>
      </c>
      <c r="G163" s="156"/>
      <c r="H163" s="154">
        <f>3*D163</f>
        <v>6</v>
      </c>
    </row>
    <row r="164" spans="1:8" x14ac:dyDescent="0.25">
      <c r="A164" s="60" t="s">
        <v>181</v>
      </c>
      <c r="B164" s="53" t="s">
        <v>303</v>
      </c>
      <c r="C164" s="54">
        <v>1500</v>
      </c>
      <c r="D164" s="54">
        <v>1</v>
      </c>
      <c r="E164" s="124">
        <v>1</v>
      </c>
      <c r="F164" s="92">
        <f t="shared" si="23"/>
        <v>1500</v>
      </c>
      <c r="G164" s="156"/>
      <c r="H164" s="154">
        <f>12*D164</f>
        <v>12</v>
      </c>
    </row>
    <row r="165" spans="1:8" x14ac:dyDescent="0.25">
      <c r="A165" s="60" t="s">
        <v>182</v>
      </c>
      <c r="B165" s="53" t="s">
        <v>187</v>
      </c>
      <c r="C165" s="54">
        <v>150</v>
      </c>
      <c r="D165" s="54">
        <v>1</v>
      </c>
      <c r="E165" s="124">
        <v>1</v>
      </c>
      <c r="F165" s="92">
        <f t="shared" si="23"/>
        <v>150</v>
      </c>
      <c r="G165" s="156"/>
      <c r="H165" s="154">
        <f>1.5*D165</f>
        <v>1.5</v>
      </c>
    </row>
    <row r="166" spans="1:8" x14ac:dyDescent="0.25">
      <c r="A166" s="60" t="s">
        <v>182</v>
      </c>
      <c r="B166" s="53" t="s">
        <v>184</v>
      </c>
      <c r="C166" s="54">
        <v>35</v>
      </c>
      <c r="D166" s="54">
        <v>45</v>
      </c>
      <c r="E166" s="124">
        <v>1</v>
      </c>
      <c r="F166" s="92">
        <f t="shared" si="23"/>
        <v>1575</v>
      </c>
      <c r="G166" s="156"/>
      <c r="H166" s="154">
        <f>0.55*D166</f>
        <v>24.750000000000004</v>
      </c>
    </row>
    <row r="167" spans="1:8" x14ac:dyDescent="0.25">
      <c r="A167" s="60" t="s">
        <v>182</v>
      </c>
      <c r="B167" s="53" t="s">
        <v>183</v>
      </c>
      <c r="C167" s="54">
        <v>50</v>
      </c>
      <c r="D167" s="54">
        <v>50</v>
      </c>
      <c r="E167" s="124">
        <v>1</v>
      </c>
      <c r="F167" s="92">
        <f t="shared" si="23"/>
        <v>2500</v>
      </c>
      <c r="G167" s="156"/>
      <c r="H167" s="154">
        <f>0.75*D167</f>
        <v>37.5</v>
      </c>
    </row>
    <row r="168" spans="1:8" x14ac:dyDescent="0.25">
      <c r="A168" s="60" t="s">
        <v>186</v>
      </c>
      <c r="B168" s="53" t="s">
        <v>185</v>
      </c>
      <c r="C168" s="54">
        <v>80</v>
      </c>
      <c r="D168" s="54">
        <v>9</v>
      </c>
      <c r="E168" s="124">
        <v>1</v>
      </c>
      <c r="F168" s="92">
        <f t="shared" si="23"/>
        <v>720</v>
      </c>
      <c r="G168" s="156"/>
      <c r="H168" s="154">
        <f>1.8*D168</f>
        <v>16.2</v>
      </c>
    </row>
    <row r="169" spans="1:8" ht="22.5" x14ac:dyDescent="0.25">
      <c r="A169" s="60" t="s">
        <v>189</v>
      </c>
      <c r="B169" s="53" t="s">
        <v>265</v>
      </c>
      <c r="C169" s="54">
        <v>500</v>
      </c>
      <c r="D169" s="54">
        <v>1</v>
      </c>
      <c r="E169" s="124">
        <v>1</v>
      </c>
      <c r="F169" s="92">
        <f t="shared" si="23"/>
        <v>500</v>
      </c>
      <c r="G169" s="156"/>
      <c r="H169" s="154">
        <f>2*D169</f>
        <v>2</v>
      </c>
    </row>
    <row r="170" spans="1:8" x14ac:dyDescent="0.25">
      <c r="A170" s="60" t="s">
        <v>188</v>
      </c>
      <c r="B170" s="53" t="s">
        <v>266</v>
      </c>
      <c r="C170" s="54">
        <v>250</v>
      </c>
      <c r="D170" s="54">
        <v>2</v>
      </c>
      <c r="E170" s="124">
        <v>1</v>
      </c>
      <c r="F170" s="92">
        <f t="shared" si="23"/>
        <v>500</v>
      </c>
      <c r="G170" s="156"/>
      <c r="H170" s="154">
        <f>0.65*3</f>
        <v>1.9500000000000002</v>
      </c>
    </row>
    <row r="171" spans="1:8" x14ac:dyDescent="0.25">
      <c r="A171" s="164" t="s">
        <v>129</v>
      </c>
      <c r="B171" s="53" t="s">
        <v>130</v>
      </c>
      <c r="C171" s="54">
        <v>500</v>
      </c>
      <c r="D171" s="54">
        <v>3</v>
      </c>
      <c r="E171" s="165">
        <v>1</v>
      </c>
      <c r="F171" s="135">
        <f t="shared" si="23"/>
        <v>1500</v>
      </c>
      <c r="G171" s="154">
        <f>10*D171</f>
        <v>30</v>
      </c>
      <c r="H171" s="154">
        <f>2.5*D171</f>
        <v>7.5</v>
      </c>
    </row>
    <row r="172" spans="1:8" ht="15.75" thickBot="1" x14ac:dyDescent="0.3">
      <c r="A172" s="162" t="s">
        <v>287</v>
      </c>
      <c r="B172" s="163" t="s">
        <v>288</v>
      </c>
      <c r="C172" s="75">
        <v>750</v>
      </c>
      <c r="D172" s="75">
        <v>2</v>
      </c>
      <c r="E172" s="130">
        <v>1</v>
      </c>
      <c r="F172" s="76">
        <f t="shared" ref="F172" si="27">C172*D172*E172</f>
        <v>1500</v>
      </c>
      <c r="G172" s="154">
        <f>6*D172</f>
        <v>12</v>
      </c>
      <c r="H172" s="154">
        <f>2*D172</f>
        <v>4</v>
      </c>
    </row>
    <row r="173" spans="1:8" ht="15.75" thickBot="1" x14ac:dyDescent="0.3">
      <c r="A173" s="103" t="s">
        <v>102</v>
      </c>
      <c r="B173" s="104"/>
      <c r="C173" s="105"/>
      <c r="D173" s="105"/>
      <c r="E173" s="105"/>
      <c r="F173" s="106">
        <f>SUM(F125:F172)</f>
        <v>211145</v>
      </c>
    </row>
    <row r="174" spans="1:8" x14ac:dyDescent="0.25">
      <c r="A174" s="13" t="s">
        <v>103</v>
      </c>
      <c r="B174" s="14"/>
      <c r="C174" s="14"/>
      <c r="D174" s="14"/>
      <c r="E174" s="14"/>
      <c r="F174" s="15"/>
    </row>
    <row r="175" spans="1:8" ht="45.75" thickBot="1" x14ac:dyDescent="0.3">
      <c r="A175" s="82" t="s">
        <v>0</v>
      </c>
      <c r="B175" s="83" t="s">
        <v>1</v>
      </c>
      <c r="C175" s="40" t="s">
        <v>2</v>
      </c>
      <c r="D175" s="41" t="s">
        <v>3</v>
      </c>
      <c r="E175" s="125" t="s">
        <v>203</v>
      </c>
      <c r="F175" s="42" t="s">
        <v>191</v>
      </c>
    </row>
    <row r="176" spans="1:8" ht="15.75" thickBot="1" x14ac:dyDescent="0.3">
      <c r="A176" s="9" t="s">
        <v>110</v>
      </c>
      <c r="B176" s="10"/>
      <c r="C176" s="11"/>
      <c r="D176" s="11"/>
      <c r="E176" s="11"/>
      <c r="F176" s="12"/>
    </row>
    <row r="177" spans="1:14" x14ac:dyDescent="0.25">
      <c r="A177" s="44" t="s">
        <v>105</v>
      </c>
      <c r="B177" s="45" t="s">
        <v>207</v>
      </c>
      <c r="C177" s="46">
        <v>1500</v>
      </c>
      <c r="D177" s="46">
        <v>12</v>
      </c>
      <c r="E177" s="46">
        <v>1</v>
      </c>
      <c r="F177" s="47">
        <f>C177*D177*E177</f>
        <v>18000</v>
      </c>
      <c r="G177" s="156"/>
      <c r="H177" s="154">
        <f>35*D177</f>
        <v>420</v>
      </c>
    </row>
    <row r="178" spans="1:14" x14ac:dyDescent="0.25">
      <c r="A178" s="44" t="s">
        <v>105</v>
      </c>
      <c r="B178" s="45" t="s">
        <v>208</v>
      </c>
      <c r="C178" s="46">
        <v>1000</v>
      </c>
      <c r="D178" s="46">
        <v>2</v>
      </c>
      <c r="E178" s="46">
        <v>1</v>
      </c>
      <c r="F178" s="47">
        <f>C178*D178*E178</f>
        <v>2000</v>
      </c>
      <c r="G178" s="156"/>
      <c r="H178" s="154">
        <f>25*D178</f>
        <v>50</v>
      </c>
    </row>
    <row r="179" spans="1:14" x14ac:dyDescent="0.25">
      <c r="A179" s="44" t="s">
        <v>104</v>
      </c>
      <c r="B179" s="45" t="s">
        <v>209</v>
      </c>
      <c r="C179" s="46">
        <v>0</v>
      </c>
      <c r="D179" s="46">
        <v>40</v>
      </c>
      <c r="E179" s="46">
        <v>1</v>
      </c>
      <c r="F179" s="47">
        <f>C179*D179*E179</f>
        <v>0</v>
      </c>
      <c r="G179" s="156"/>
    </row>
    <row r="180" spans="1:14" x14ac:dyDescent="0.25">
      <c r="A180" s="44" t="s">
        <v>104</v>
      </c>
      <c r="B180" s="84" t="s">
        <v>210</v>
      </c>
      <c r="C180" s="93">
        <v>0</v>
      </c>
      <c r="D180" s="46">
        <v>40</v>
      </c>
      <c r="E180" s="46">
        <v>1</v>
      </c>
      <c r="F180" s="47">
        <f t="shared" ref="F180:F189" si="28">C180*D180*E180</f>
        <v>0</v>
      </c>
      <c r="G180" s="156"/>
    </row>
    <row r="181" spans="1:14" x14ac:dyDescent="0.25">
      <c r="A181" s="44" t="s">
        <v>104</v>
      </c>
      <c r="B181" s="84" t="s">
        <v>211</v>
      </c>
      <c r="C181" s="93">
        <v>0</v>
      </c>
      <c r="D181" s="46">
        <v>40</v>
      </c>
      <c r="E181" s="46">
        <v>1</v>
      </c>
      <c r="F181" s="47">
        <f t="shared" si="28"/>
        <v>0</v>
      </c>
      <c r="G181" s="156"/>
    </row>
    <row r="182" spans="1:14" x14ac:dyDescent="0.25">
      <c r="A182" s="44" t="s">
        <v>104</v>
      </c>
      <c r="B182" s="84" t="s">
        <v>106</v>
      </c>
      <c r="C182" s="93">
        <v>0</v>
      </c>
      <c r="D182" s="46">
        <v>40</v>
      </c>
      <c r="E182" s="46">
        <v>1</v>
      </c>
      <c r="F182" s="47">
        <f t="shared" si="28"/>
        <v>0</v>
      </c>
      <c r="G182" s="156"/>
    </row>
    <row r="183" spans="1:14" x14ac:dyDescent="0.25">
      <c r="A183" s="44" t="s">
        <v>107</v>
      </c>
      <c r="B183" s="45" t="s">
        <v>220</v>
      </c>
      <c r="C183" s="120">
        <v>500</v>
      </c>
      <c r="D183" s="134">
        <v>5</v>
      </c>
      <c r="E183" s="134">
        <v>1</v>
      </c>
      <c r="F183" s="135">
        <f t="shared" si="28"/>
        <v>2500</v>
      </c>
      <c r="G183" s="156"/>
    </row>
    <row r="184" spans="1:14" x14ac:dyDescent="0.25">
      <c r="A184" s="52" t="s">
        <v>222</v>
      </c>
      <c r="B184" s="53"/>
      <c r="C184" s="54">
        <v>0</v>
      </c>
      <c r="D184" s="54">
        <v>20</v>
      </c>
      <c r="E184" s="54">
        <v>1</v>
      </c>
      <c r="F184" s="135">
        <f>C184*D184*E184</f>
        <v>0</v>
      </c>
      <c r="G184" s="156"/>
    </row>
    <row r="185" spans="1:14" x14ac:dyDescent="0.25">
      <c r="A185" s="94" t="s">
        <v>221</v>
      </c>
      <c r="B185" s="45"/>
      <c r="C185" s="133">
        <v>0</v>
      </c>
      <c r="D185" s="77">
        <v>10</v>
      </c>
      <c r="E185" s="46">
        <v>1</v>
      </c>
      <c r="F185" s="135">
        <f>C185*D185*E185</f>
        <v>0</v>
      </c>
      <c r="G185" s="156"/>
    </row>
    <row r="186" spans="1:14" x14ac:dyDescent="0.25">
      <c r="A186" s="52" t="s">
        <v>108</v>
      </c>
      <c r="B186" s="95" t="s">
        <v>109</v>
      </c>
      <c r="C186" s="54">
        <v>300</v>
      </c>
      <c r="D186" s="54">
        <v>1</v>
      </c>
      <c r="E186" s="46">
        <v>1</v>
      </c>
      <c r="F186" s="47">
        <f t="shared" si="28"/>
        <v>300</v>
      </c>
      <c r="G186" s="156"/>
    </row>
    <row r="187" spans="1:14" x14ac:dyDescent="0.25">
      <c r="A187" s="52" t="s">
        <v>114</v>
      </c>
      <c r="B187" s="95" t="s">
        <v>115</v>
      </c>
      <c r="C187" s="54">
        <v>200</v>
      </c>
      <c r="D187" s="54">
        <v>1</v>
      </c>
      <c r="E187" s="46">
        <v>1</v>
      </c>
      <c r="F187" s="47">
        <f t="shared" si="28"/>
        <v>200</v>
      </c>
      <c r="G187" s="156"/>
    </row>
    <row r="188" spans="1:14" x14ac:dyDescent="0.25">
      <c r="A188" s="52" t="s">
        <v>111</v>
      </c>
      <c r="B188" s="95" t="s">
        <v>112</v>
      </c>
      <c r="C188" s="54">
        <v>500</v>
      </c>
      <c r="D188" s="54">
        <v>1</v>
      </c>
      <c r="E188" s="46">
        <v>1</v>
      </c>
      <c r="F188" s="47">
        <f t="shared" si="28"/>
        <v>500</v>
      </c>
      <c r="G188" s="156"/>
    </row>
    <row r="189" spans="1:14" x14ac:dyDescent="0.25">
      <c r="A189" s="52" t="s">
        <v>113</v>
      </c>
      <c r="B189" s="95"/>
      <c r="C189" s="54">
        <v>100</v>
      </c>
      <c r="D189" s="54">
        <v>1</v>
      </c>
      <c r="E189" s="46">
        <v>1</v>
      </c>
      <c r="F189" s="47">
        <f t="shared" si="28"/>
        <v>100</v>
      </c>
      <c r="G189" s="156"/>
    </row>
    <row r="190" spans="1:14" ht="15.75" thickBot="1" x14ac:dyDescent="0.3">
      <c r="A190" s="103" t="s">
        <v>116</v>
      </c>
      <c r="B190" s="104"/>
      <c r="C190" s="105"/>
      <c r="D190" s="105"/>
      <c r="E190" s="105"/>
      <c r="F190" s="106">
        <f>SUM(F177:F189)</f>
        <v>23600</v>
      </c>
    </row>
    <row r="191" spans="1:14" x14ac:dyDescent="0.25">
      <c r="A191" s="13" t="s">
        <v>318</v>
      </c>
      <c r="B191" s="14"/>
      <c r="C191" s="14"/>
      <c r="D191" s="14"/>
      <c r="E191" s="14"/>
      <c r="F191" s="15"/>
      <c r="J191" s="154"/>
      <c r="K191" s="154"/>
      <c r="L191" s="154"/>
      <c r="N191" s="37"/>
    </row>
    <row r="192" spans="1:14" ht="45.75" thickBot="1" x14ac:dyDescent="0.3">
      <c r="A192" s="82" t="s">
        <v>0</v>
      </c>
      <c r="B192" s="83" t="s">
        <v>1</v>
      </c>
      <c r="C192" s="40" t="s">
        <v>2</v>
      </c>
      <c r="D192" s="41" t="s">
        <v>3</v>
      </c>
      <c r="E192" s="125" t="s">
        <v>203</v>
      </c>
      <c r="F192" s="42" t="s">
        <v>191</v>
      </c>
      <c r="J192" s="154"/>
      <c r="K192" s="154"/>
      <c r="L192" s="154"/>
      <c r="N192" s="37"/>
    </row>
    <row r="193" spans="1:14" ht="15.75" thickBot="1" x14ac:dyDescent="0.3">
      <c r="A193" s="9" t="s">
        <v>319</v>
      </c>
      <c r="B193" s="10"/>
      <c r="C193" s="11"/>
      <c r="D193" s="11"/>
      <c r="E193" s="11"/>
      <c r="F193" s="12"/>
      <c r="J193" s="154"/>
      <c r="K193" s="154"/>
      <c r="L193" s="154"/>
      <c r="N193" s="37"/>
    </row>
    <row r="194" spans="1:14" x14ac:dyDescent="0.25">
      <c r="A194" s="173" t="s">
        <v>320</v>
      </c>
      <c r="B194" s="53" t="s">
        <v>321</v>
      </c>
      <c r="C194" s="54">
        <v>20000</v>
      </c>
      <c r="D194" s="54">
        <v>1</v>
      </c>
      <c r="E194" s="124">
        <v>1</v>
      </c>
      <c r="F194" s="92">
        <f t="shared" ref="F194:F201" si="29">C194*D194*E194</f>
        <v>20000</v>
      </c>
      <c r="G194" s="156"/>
      <c r="H194" s="154">
        <v>15</v>
      </c>
      <c r="J194" s="154"/>
      <c r="K194" s="154"/>
      <c r="L194" s="154"/>
      <c r="N194" s="37"/>
    </row>
    <row r="195" spans="1:14" x14ac:dyDescent="0.25">
      <c r="A195" s="67" t="s">
        <v>317</v>
      </c>
      <c r="B195" s="68" t="s">
        <v>349</v>
      </c>
      <c r="C195" s="46">
        <v>2500</v>
      </c>
      <c r="D195" s="46">
        <v>2</v>
      </c>
      <c r="E195" s="46">
        <v>1</v>
      </c>
      <c r="F195" s="47">
        <f t="shared" si="29"/>
        <v>5000</v>
      </c>
      <c r="G195" s="156"/>
      <c r="H195" s="154">
        <f>3.5*D195</f>
        <v>7</v>
      </c>
      <c r="J195" s="154"/>
      <c r="K195" s="154"/>
      <c r="L195" s="154"/>
      <c r="N195" s="37"/>
    </row>
    <row r="196" spans="1:14" x14ac:dyDescent="0.25">
      <c r="A196" s="67" t="s">
        <v>322</v>
      </c>
      <c r="B196" s="68" t="s">
        <v>323</v>
      </c>
      <c r="C196" s="46">
        <v>200</v>
      </c>
      <c r="D196" s="46">
        <v>4</v>
      </c>
      <c r="E196" s="46">
        <v>1</v>
      </c>
      <c r="F196" s="47">
        <f t="shared" si="29"/>
        <v>800</v>
      </c>
      <c r="G196" s="156"/>
      <c r="J196" s="154"/>
      <c r="K196" s="154"/>
      <c r="L196" s="154"/>
      <c r="N196" s="37"/>
    </row>
    <row r="197" spans="1:14" x14ac:dyDescent="0.25">
      <c r="A197" s="67" t="s">
        <v>322</v>
      </c>
      <c r="B197" s="68" t="s">
        <v>332</v>
      </c>
      <c r="C197" s="46">
        <v>300</v>
      </c>
      <c r="D197" s="46">
        <v>2</v>
      </c>
      <c r="E197" s="46">
        <v>1</v>
      </c>
      <c r="F197" s="47">
        <f t="shared" ref="F197" si="30">C197*D197*E197</f>
        <v>600</v>
      </c>
      <c r="G197" s="156"/>
      <c r="J197" s="154"/>
      <c r="K197" s="154"/>
      <c r="L197" s="154"/>
      <c r="N197" s="37"/>
    </row>
    <row r="198" spans="1:14" x14ac:dyDescent="0.25">
      <c r="A198" s="67" t="s">
        <v>322</v>
      </c>
      <c r="B198" s="68" t="s">
        <v>331</v>
      </c>
      <c r="C198" s="46">
        <v>400</v>
      </c>
      <c r="D198" s="46">
        <v>1</v>
      </c>
      <c r="E198" s="46">
        <v>1</v>
      </c>
      <c r="F198" s="47">
        <f t="shared" ref="F198" si="31">C198*D198*E198</f>
        <v>400</v>
      </c>
      <c r="G198" s="156"/>
      <c r="J198" s="154"/>
      <c r="K198" s="154"/>
      <c r="L198" s="154"/>
      <c r="N198" s="37"/>
    </row>
    <row r="199" spans="1:14" x14ac:dyDescent="0.25">
      <c r="A199" s="67" t="s">
        <v>324</v>
      </c>
      <c r="B199" s="68" t="s">
        <v>325</v>
      </c>
      <c r="C199" s="46">
        <v>1000</v>
      </c>
      <c r="D199" s="46">
        <v>2</v>
      </c>
      <c r="E199" s="46">
        <v>1</v>
      </c>
      <c r="F199" s="47">
        <f t="shared" si="29"/>
        <v>2000</v>
      </c>
      <c r="G199" s="156"/>
      <c r="J199" s="154"/>
      <c r="K199" s="154"/>
      <c r="L199" s="154"/>
      <c r="N199" s="37"/>
    </row>
    <row r="200" spans="1:14" x14ac:dyDescent="0.25">
      <c r="A200" s="44" t="s">
        <v>326</v>
      </c>
      <c r="B200" s="84" t="s">
        <v>327</v>
      </c>
      <c r="C200" s="93">
        <v>500</v>
      </c>
      <c r="D200" s="46">
        <v>3</v>
      </c>
      <c r="E200" s="46">
        <v>1</v>
      </c>
      <c r="F200" s="47">
        <f t="shared" si="29"/>
        <v>1500</v>
      </c>
      <c r="H200" s="154">
        <v>1</v>
      </c>
      <c r="J200" s="179"/>
      <c r="K200" s="132"/>
      <c r="L200" s="132"/>
      <c r="N200" s="37"/>
    </row>
    <row r="201" spans="1:14" x14ac:dyDescent="0.25">
      <c r="A201" s="44" t="s">
        <v>328</v>
      </c>
      <c r="B201" s="84" t="s">
        <v>329</v>
      </c>
      <c r="C201" s="93">
        <v>0</v>
      </c>
      <c r="D201" s="46">
        <v>3</v>
      </c>
      <c r="E201" s="46">
        <v>1</v>
      </c>
      <c r="F201" s="47">
        <f t="shared" si="29"/>
        <v>0</v>
      </c>
      <c r="J201" s="179"/>
      <c r="K201" s="132"/>
      <c r="L201" s="132"/>
      <c r="N201" s="37"/>
    </row>
    <row r="202" spans="1:14" ht="15.75" thickBot="1" x14ac:dyDescent="0.3">
      <c r="A202" s="44" t="s">
        <v>312</v>
      </c>
      <c r="B202" s="84" t="s">
        <v>333</v>
      </c>
      <c r="C202" s="93">
        <v>100</v>
      </c>
      <c r="D202" s="46">
        <v>2</v>
      </c>
      <c r="E202" s="46">
        <v>1</v>
      </c>
      <c r="F202" s="47">
        <f t="shared" ref="F202" si="32">C202*D202*E202</f>
        <v>200</v>
      </c>
      <c r="J202" s="179"/>
      <c r="K202" s="132"/>
      <c r="L202" s="132"/>
      <c r="N202" s="37"/>
    </row>
    <row r="203" spans="1:14" ht="15.75" thickBot="1" x14ac:dyDescent="0.3">
      <c r="A203" s="174" t="s">
        <v>330</v>
      </c>
      <c r="B203" s="175"/>
      <c r="C203" s="176"/>
      <c r="D203" s="176"/>
      <c r="E203" s="176"/>
      <c r="F203" s="177">
        <f>SUM(F194:F202)</f>
        <v>30500</v>
      </c>
      <c r="J203" s="154"/>
      <c r="K203" s="154"/>
      <c r="L203" s="154"/>
      <c r="N203" s="37"/>
    </row>
    <row r="204" spans="1:14" ht="15" customHeight="1" thickBot="1" x14ac:dyDescent="0.3">
      <c r="A204" s="116"/>
      <c r="B204" s="26"/>
      <c r="C204" s="109"/>
      <c r="D204" s="109"/>
      <c r="E204" s="109"/>
      <c r="F204" s="110"/>
    </row>
    <row r="205" spans="1:14" ht="15" customHeight="1" x14ac:dyDescent="0.25">
      <c r="A205" s="115" t="s">
        <v>117</v>
      </c>
      <c r="B205" s="97"/>
      <c r="C205" s="107"/>
      <c r="D205" s="107"/>
      <c r="E205" s="107"/>
      <c r="F205" s="108">
        <f>F121+F173+F190+F203</f>
        <v>697395</v>
      </c>
    </row>
    <row r="206" spans="1:14" ht="15" customHeight="1" thickBot="1" x14ac:dyDescent="0.3">
      <c r="A206" s="103" t="s">
        <v>118</v>
      </c>
      <c r="B206" s="96"/>
      <c r="C206" s="169">
        <v>0</v>
      </c>
      <c r="D206" s="170" t="s">
        <v>69</v>
      </c>
      <c r="E206" s="170"/>
      <c r="F206" s="171">
        <f>F205*(1-C206/100)</f>
        <v>697395</v>
      </c>
    </row>
    <row r="207" spans="1:14" ht="15" customHeight="1" thickBot="1" x14ac:dyDescent="0.3">
      <c r="A207" s="116"/>
      <c r="B207" s="26"/>
      <c r="C207" s="109"/>
      <c r="D207" s="109"/>
      <c r="E207" s="109"/>
      <c r="F207" s="110"/>
    </row>
    <row r="208" spans="1:14" x14ac:dyDescent="0.25">
      <c r="A208" s="113" t="s">
        <v>123</v>
      </c>
      <c r="B208" s="21"/>
      <c r="C208" s="21"/>
      <c r="D208" s="21"/>
      <c r="E208" s="21"/>
      <c r="F208" s="22"/>
    </row>
    <row r="209" spans="1:10" x14ac:dyDescent="0.25">
      <c r="A209" s="114" t="s">
        <v>124</v>
      </c>
      <c r="B209" s="23" t="s">
        <v>307</v>
      </c>
      <c r="C209" s="24">
        <v>15000</v>
      </c>
      <c r="D209" s="24">
        <v>1</v>
      </c>
      <c r="E209" s="24">
        <v>1</v>
      </c>
      <c r="F209" s="25">
        <f>C209*D209*E209</f>
        <v>15000</v>
      </c>
    </row>
    <row r="210" spans="1:10" x14ac:dyDescent="0.25">
      <c r="A210" s="114" t="s">
        <v>125</v>
      </c>
      <c r="B210" s="23" t="s">
        <v>307</v>
      </c>
      <c r="C210" s="24">
        <v>15000</v>
      </c>
      <c r="D210" s="24">
        <v>1</v>
      </c>
      <c r="E210" s="24">
        <v>1</v>
      </c>
      <c r="F210" s="25">
        <f t="shared" ref="F210:F215" si="33">C210*D210*E210</f>
        <v>15000</v>
      </c>
    </row>
    <row r="211" spans="1:10" x14ac:dyDescent="0.25">
      <c r="A211" s="114" t="s">
        <v>334</v>
      </c>
      <c r="B211" s="23" t="s">
        <v>307</v>
      </c>
      <c r="C211" s="24">
        <v>15000</v>
      </c>
      <c r="D211" s="24">
        <v>1</v>
      </c>
      <c r="E211" s="24">
        <v>1</v>
      </c>
      <c r="F211" s="25">
        <f t="shared" ref="F211:F212" si="34">C211*D211*E211</f>
        <v>15000</v>
      </c>
    </row>
    <row r="212" spans="1:10" x14ac:dyDescent="0.25">
      <c r="A212" s="114" t="s">
        <v>335</v>
      </c>
      <c r="B212" s="23" t="s">
        <v>278</v>
      </c>
      <c r="C212" s="24">
        <v>15000</v>
      </c>
      <c r="D212" s="24">
        <v>1</v>
      </c>
      <c r="E212" s="24">
        <v>1</v>
      </c>
      <c r="F212" s="25">
        <f t="shared" si="34"/>
        <v>15000</v>
      </c>
    </row>
    <row r="213" spans="1:10" x14ac:dyDescent="0.25">
      <c r="A213" s="114" t="s">
        <v>126</v>
      </c>
      <c r="B213" s="23" t="s">
        <v>308</v>
      </c>
      <c r="C213" s="24">
        <v>4000</v>
      </c>
      <c r="D213" s="24">
        <v>1</v>
      </c>
      <c r="E213" s="24">
        <v>2</v>
      </c>
      <c r="F213" s="25">
        <f t="shared" si="33"/>
        <v>8000</v>
      </c>
    </row>
    <row r="214" spans="1:10" x14ac:dyDescent="0.25">
      <c r="A214" s="114" t="s">
        <v>276</v>
      </c>
      <c r="B214" s="23" t="s">
        <v>307</v>
      </c>
      <c r="C214" s="24">
        <v>10000</v>
      </c>
      <c r="D214" s="24">
        <v>1</v>
      </c>
      <c r="E214" s="24">
        <v>1</v>
      </c>
      <c r="F214" s="25">
        <f t="shared" si="33"/>
        <v>10000</v>
      </c>
    </row>
    <row r="215" spans="1:10" x14ac:dyDescent="0.25">
      <c r="A215" s="114" t="s">
        <v>279</v>
      </c>
      <c r="B215" s="23" t="s">
        <v>355</v>
      </c>
      <c r="C215" s="24">
        <v>4500</v>
      </c>
      <c r="D215" s="24">
        <v>1</v>
      </c>
      <c r="E215" s="24">
        <v>2</v>
      </c>
      <c r="F215" s="25">
        <f t="shared" si="33"/>
        <v>9000</v>
      </c>
      <c r="H215" s="158"/>
    </row>
    <row r="216" spans="1:10" x14ac:dyDescent="0.25">
      <c r="A216" s="114" t="s">
        <v>277</v>
      </c>
      <c r="B216" s="23" t="s">
        <v>354</v>
      </c>
      <c r="C216" s="24">
        <v>2500</v>
      </c>
      <c r="D216" s="24">
        <v>1</v>
      </c>
      <c r="E216" s="24">
        <v>2</v>
      </c>
      <c r="F216" s="25">
        <f>C216*D216*E216</f>
        <v>5000</v>
      </c>
      <c r="H216" s="158"/>
    </row>
    <row r="217" spans="1:10" ht="15.75" thickBot="1" x14ac:dyDescent="0.3">
      <c r="A217" s="117" t="s">
        <v>127</v>
      </c>
      <c r="B217" s="98"/>
      <c r="C217" s="111"/>
      <c r="D217" s="111"/>
      <c r="E217" s="111"/>
      <c r="F217" s="112">
        <f>SUM(F209:F216)</f>
        <v>92000</v>
      </c>
      <c r="H217" s="158"/>
    </row>
    <row r="218" spans="1:10" ht="15.75" thickBot="1" x14ac:dyDescent="0.3">
      <c r="A218" s="118"/>
      <c r="B218" s="26"/>
      <c r="C218" s="27"/>
      <c r="D218" s="27"/>
      <c r="E218" s="27"/>
      <c r="F218" s="28"/>
    </row>
    <row r="219" spans="1:10" ht="18.75" thickBot="1" x14ac:dyDescent="0.3">
      <c r="A219" s="138" t="s">
        <v>226</v>
      </c>
      <c r="B219" s="139"/>
      <c r="C219" s="140"/>
      <c r="D219" s="140"/>
      <c r="E219" s="140"/>
      <c r="F219" s="137">
        <f>F206+F217</f>
        <v>789395</v>
      </c>
    </row>
    <row r="220" spans="1:10" ht="18.75" thickBot="1" x14ac:dyDescent="0.3">
      <c r="A220" s="119" t="s">
        <v>236</v>
      </c>
      <c r="B220" s="99"/>
      <c r="C220" s="141" t="s">
        <v>237</v>
      </c>
      <c r="D220" s="142">
        <v>10</v>
      </c>
      <c r="E220" s="143" t="s">
        <v>69</v>
      </c>
      <c r="F220" s="144">
        <f>F219*(1+D220/100)</f>
        <v>868334.50000000012</v>
      </c>
    </row>
    <row r="222" spans="1:10" ht="15" customHeight="1" x14ac:dyDescent="0.25">
      <c r="A222" s="136" t="s">
        <v>227</v>
      </c>
      <c r="B222" s="161">
        <f>SUM(G13:G171)/1000</f>
        <v>64.355000000000004</v>
      </c>
      <c r="C222" s="6"/>
      <c r="E222" s="6"/>
      <c r="F222" s="132"/>
      <c r="I222" s="180"/>
      <c r="J222" s="178"/>
    </row>
    <row r="223" spans="1:10" ht="15" customHeight="1" x14ac:dyDescent="0.25">
      <c r="A223" s="136" t="s">
        <v>228</v>
      </c>
      <c r="B223" s="161">
        <f>B222*1000/220</f>
        <v>292.52272727272731</v>
      </c>
      <c r="C223" s="6"/>
      <c r="E223" s="6"/>
      <c r="F223" s="132"/>
      <c r="I223" s="180"/>
      <c r="J223" s="178"/>
    </row>
    <row r="224" spans="1:10" ht="15" customHeight="1" x14ac:dyDescent="0.25">
      <c r="A224" s="136" t="s">
        <v>229</v>
      </c>
      <c r="B224" s="161">
        <f>SUM(H13:H189)/1000</f>
        <v>5.798049999999999</v>
      </c>
      <c r="C224" s="6"/>
      <c r="E224" s="6"/>
      <c r="F224" s="132"/>
      <c r="I224" s="180"/>
      <c r="J224" s="178"/>
    </row>
  </sheetData>
  <phoneticPr fontId="34" type="noConversion"/>
  <hyperlinks>
    <hyperlink ref="B7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/>
  </sheetViews>
  <sheetFormatPr defaultRowHeight="15" x14ac:dyDescent="0.25"/>
  <cols>
    <col min="1" max="1" width="21.140625" customWidth="1"/>
    <col min="2" max="2" width="40.7109375" customWidth="1"/>
  </cols>
  <sheetData>
    <row r="1" spans="1:2" ht="15.75" thickBot="1" x14ac:dyDescent="0.3">
      <c r="A1" s="33" t="s">
        <v>144</v>
      </c>
    </row>
    <row r="2" spans="1:2" x14ac:dyDescent="0.25">
      <c r="A2" s="34" t="s">
        <v>137</v>
      </c>
      <c r="B2" s="100"/>
    </row>
    <row r="3" spans="1:2" x14ac:dyDescent="0.25">
      <c r="A3" s="35" t="s">
        <v>142</v>
      </c>
      <c r="B3" s="101"/>
    </row>
    <row r="4" spans="1:2" x14ac:dyDescent="0.25">
      <c r="A4" s="35" t="s">
        <v>143</v>
      </c>
      <c r="B4" s="101"/>
    </row>
    <row r="5" spans="1:2" x14ac:dyDescent="0.25">
      <c r="A5" s="35" t="s">
        <v>138</v>
      </c>
      <c r="B5" s="101"/>
    </row>
    <row r="6" spans="1:2" x14ac:dyDescent="0.25">
      <c r="A6" s="35" t="s">
        <v>139</v>
      </c>
      <c r="B6" s="101"/>
    </row>
    <row r="7" spans="1:2" x14ac:dyDescent="0.25">
      <c r="A7" s="35" t="s">
        <v>140</v>
      </c>
      <c r="B7" s="101"/>
    </row>
    <row r="8" spans="1:2" x14ac:dyDescent="0.25">
      <c r="A8" s="35" t="s">
        <v>202</v>
      </c>
      <c r="B8" s="121"/>
    </row>
    <row r="9" spans="1:2" ht="15.75" thickBot="1" x14ac:dyDescent="0.3">
      <c r="A9" s="36" t="s">
        <v>141</v>
      </c>
      <c r="B9" s="10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Price Sound-Tokus</vt:lpstr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2025-02-27T14:31:18Z</dcterms:modified>
</cp:coreProperties>
</file>